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ThisWorkbook"/>
  <xr:revisionPtr revIDLastSave="896" documentId="8_{EFF60A1B-A444-4217-8250-52983217FA32}" xr6:coauthVersionLast="47" xr6:coauthVersionMax="47" xr10:uidLastSave="{79987359-EEF6-49E8-AC3A-EE38BE2E113E}"/>
  <bookViews>
    <workbookView xWindow="-120" yWindow="-120" windowWidth="23280" windowHeight="14880" xr2:uid="{00000000-000D-0000-FFFF-FFFF00000000}"/>
  </bookViews>
  <sheets>
    <sheet name="Monthly Budget Summary" sheetId="1" r:id="rId1"/>
    <sheet name="Income" sheetId="3" r:id="rId2"/>
    <sheet name="Personnel Expenses" sheetId="4" r:id="rId3"/>
    <sheet name="Operating Expenses" sheetId="5" r:id="rId4"/>
    <sheet name="Taxes" sheetId="10" r:id="rId5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_xlnm.Print_Titles" localSheetId="1">Income!$5:$5</definedName>
    <definedName name="_xlnm.Print_Titles" localSheetId="3">'Operating Expenses'!$5:$5</definedName>
    <definedName name="_xlnm.Print_Titles" localSheetId="2">'Personnel Expenses'!$5:$5</definedName>
    <definedName name="BUDGET_Title">'Monthly Budget Summary'!$B$3</definedName>
    <definedName name="ColumnTitle1">'Monthly Budget Summary'!$B$5</definedName>
    <definedName name="COMPANY_NAME">'Monthly Budget Summary'!$B$1</definedName>
    <definedName name="Title1">Top5Expenses[[#Headers],[Koopkracht verbeteringen 2024]]</definedName>
    <definedName name="Title2">Income[[#Headers],[Belasting Ontvangst]]</definedName>
    <definedName name="Title3">PersonnelExpenses[[#Headers],[Departementen Personeel]]</definedName>
    <definedName name="Title4">OperatingExpenses[[#Headers],[Departementen Netto Uitgaven]]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0" l="1"/>
  <c r="C9" i="10"/>
  <c r="B42" i="10"/>
  <c r="D5" i="10"/>
  <c r="C5" i="10"/>
  <c r="B5" i="10"/>
  <c r="B9" i="10" s="1"/>
  <c r="G21" i="3"/>
  <c r="G20" i="3"/>
  <c r="F23" i="3"/>
  <c r="F22" i="3"/>
  <c r="F21" i="3"/>
  <c r="F20" i="3"/>
  <c r="E23" i="3"/>
  <c r="E22" i="3"/>
  <c r="E21" i="3"/>
  <c r="E20" i="3"/>
  <c r="E19" i="3"/>
  <c r="C23" i="1"/>
  <c r="D22" i="1"/>
  <c r="C22" i="1"/>
  <c r="C21" i="1"/>
  <c r="D21" i="1"/>
  <c r="C15" i="3"/>
  <c r="F15" i="3"/>
  <c r="E15" i="3"/>
  <c r="F14" i="3"/>
  <c r="E14" i="3"/>
  <c r="F13" i="3"/>
  <c r="E13" i="3"/>
  <c r="F23" i="5"/>
  <c r="F22" i="5"/>
  <c r="C13" i="1"/>
  <c r="F6" i="3"/>
  <c r="F7" i="3"/>
  <c r="F8" i="3"/>
  <c r="F9" i="3"/>
  <c r="F10" i="3"/>
  <c r="F11" i="3"/>
  <c r="F12" i="3"/>
  <c r="C16" i="3"/>
  <c r="E11" i="4"/>
  <c r="E12" i="4"/>
  <c r="E13" i="4"/>
  <c r="E14" i="4"/>
  <c r="E15" i="4"/>
  <c r="E16" i="4"/>
  <c r="E17" i="4"/>
  <c r="F11" i="4"/>
  <c r="F12" i="4"/>
  <c r="F13" i="4"/>
  <c r="F14" i="4"/>
  <c r="F15" i="4"/>
  <c r="F16" i="4"/>
  <c r="F17" i="4"/>
  <c r="E6" i="4"/>
  <c r="E7" i="4"/>
  <c r="E8" i="4"/>
  <c r="E9" i="4"/>
  <c r="E10" i="4"/>
  <c r="E18" i="4"/>
  <c r="F6" i="4"/>
  <c r="F7" i="4"/>
  <c r="F8" i="4"/>
  <c r="F9" i="4"/>
  <c r="F10" i="4"/>
  <c r="F18" i="4"/>
  <c r="E19" i="4"/>
  <c r="E20" i="4"/>
  <c r="E21" i="4"/>
  <c r="F19" i="4"/>
  <c r="F20" i="4"/>
  <c r="F21" i="4"/>
  <c r="E9" i="3"/>
  <c r="E10" i="3"/>
  <c r="E12" i="3"/>
  <c r="E11" i="3"/>
  <c r="B1" i="5"/>
  <c r="B1" i="4"/>
  <c r="B1" i="3"/>
  <c r="C24" i="5"/>
  <c r="D24" i="5"/>
  <c r="C24" i="4" l="1"/>
  <c r="C7" i="1" s="1"/>
  <c r="D24" i="4"/>
  <c r="D7" i="1" s="1"/>
  <c r="F22" i="4"/>
  <c r="F23" i="4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D8" i="1"/>
  <c r="C8" i="1"/>
  <c r="D16" i="3"/>
  <c r="D6" i="1" s="1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E23" i="4"/>
  <c r="E22" i="4"/>
  <c r="E8" i="3"/>
  <c r="E7" i="3"/>
  <c r="E6" i="3"/>
  <c r="C6" i="1" l="1"/>
  <c r="E6" i="1" s="1"/>
  <c r="D9" i="1"/>
  <c r="E8" i="1"/>
  <c r="F24" i="5"/>
  <c r="F16" i="3"/>
  <c r="E7" i="1"/>
  <c r="F24" i="4"/>
  <c r="C9" i="1" l="1"/>
  <c r="D17" i="1" l="1"/>
  <c r="E17" i="1"/>
</calcChain>
</file>

<file path=xl/sharedStrings.xml><?xml version="1.0" encoding="utf-8"?>
<sst xmlns="http://schemas.openxmlformats.org/spreadsheetml/2006/main" count="254" uniqueCount="154">
  <si>
    <t>TOP 5 AMOUNT</t>
  </si>
  <si>
    <t>Total Income</t>
  </si>
  <si>
    <t>DATE</t>
  </si>
  <si>
    <t xml:space="preserve"> </t>
  </si>
  <si>
    <t xml:space="preserve">  </t>
  </si>
  <si>
    <t>DE NEDERLANDSE STAAT</t>
  </si>
  <si>
    <t>Miljardennota 2024</t>
  </si>
  <si>
    <t>Departementen personeel</t>
  </si>
  <si>
    <t>Departementen uitgaven</t>
  </si>
  <si>
    <t>Begroot 2023</t>
  </si>
  <si>
    <t>Begroot 2024</t>
  </si>
  <si>
    <t>Verschil</t>
  </si>
  <si>
    <t>Departementen Personeel</t>
  </si>
  <si>
    <t>Begroting Totaal</t>
  </si>
  <si>
    <t>B.T.W.</t>
  </si>
  <si>
    <t>Overige belastingen</t>
  </si>
  <si>
    <t>Belasting op Winst</t>
  </si>
  <si>
    <t>Belasting op Inkomen</t>
  </si>
  <si>
    <t>Belasting op Verkeer</t>
  </si>
  <si>
    <t>Belasting op Vermogen overdracht</t>
  </si>
  <si>
    <t>Belasting op Energie</t>
  </si>
  <si>
    <t>Belasting Ontvangst</t>
  </si>
  <si>
    <t>Belasting Ontvangst Wijzigingen 2024</t>
  </si>
  <si>
    <t>Belasting op Energie naar nul</t>
  </si>
  <si>
    <t>B.T.W. naar 5% (onverpakte groente),  15%  en 25% (luxe goederen)</t>
  </si>
  <si>
    <t>Buitenlandse Zaken</t>
  </si>
  <si>
    <t>Justitie en Veiligheid</t>
  </si>
  <si>
    <t>Binnenlandse Zaken</t>
  </si>
  <si>
    <t>Onderwijs, Cultuur en Wetenschap</t>
  </si>
  <si>
    <t>Financien</t>
  </si>
  <si>
    <t>Defensie</t>
  </si>
  <si>
    <t>Infrastructuur en Waterstaat</t>
  </si>
  <si>
    <t>Volksgezondheid en Sport</t>
  </si>
  <si>
    <t>Gemeentefonds</t>
  </si>
  <si>
    <t>Provinciefonds</t>
  </si>
  <si>
    <t>Algemene Zaken en Koningshuis</t>
  </si>
  <si>
    <t>Economische Zaken (en Klimaat)</t>
  </si>
  <si>
    <t>Landbouw, Natuur en Voedsel</t>
  </si>
  <si>
    <t>Sociale Zaken en Werk</t>
  </si>
  <si>
    <t>Ontwikkeling Samenwerking</t>
  </si>
  <si>
    <t>CAK (WLZ)</t>
  </si>
  <si>
    <t>UWV (WW+WIA)</t>
  </si>
  <si>
    <t>SVB (AOW+Kinderbijslag)</t>
  </si>
  <si>
    <t>Totaal Personeel</t>
  </si>
  <si>
    <t>Totaal Netto Uitgaven</t>
  </si>
  <si>
    <t>Departementen Netto Uitgaven</t>
  </si>
  <si>
    <t>Winst belasting naar 20% (was 19%) geen uitzonderingen (ANBI strikt)</t>
  </si>
  <si>
    <t>Successiebelasting naar 10% met eenmalig 100.000 vrij en jaarlijks 10.000 vrij</t>
  </si>
  <si>
    <t>Aantal Burgers</t>
  </si>
  <si>
    <t>% Verbetering</t>
  </si>
  <si>
    <t>Belastingen - Uitgaven</t>
  </si>
  <si>
    <t>AOW alleenverdieners omhoog</t>
  </si>
  <si>
    <t>Vermindering Communicatie medewerkers</t>
  </si>
  <si>
    <t>Vermindering Europese Samenwerking</t>
  </si>
  <si>
    <t>Belasting op Verkeer (BPM en Motorrijtuigenbelasting) gelijk voor alle auto's</t>
  </si>
  <si>
    <t xml:space="preserve">Belasting op Inkomen zonder heffingskortingen, vrij 10.000, 20% en + 20.000 +10% </t>
  </si>
  <si>
    <t>Vermindering ambtenaren COA</t>
  </si>
  <si>
    <t>Minder buitenlandse studenten (-20%)</t>
  </si>
  <si>
    <t>Vermindering woningmarkt bijdragen met 2 miljard</t>
  </si>
  <si>
    <t>Vermindering migratie met 2 miljard kosten</t>
  </si>
  <si>
    <t>Vermindering Europese Samenwerking met 10 miljard</t>
  </si>
  <si>
    <t>Verhoging Defensie personeel naar 2% BBP</t>
  </si>
  <si>
    <t>Verhoging Mobiliteitsfondsen en uitgaven voor wegen en OV</t>
  </si>
  <si>
    <t>Klimaat (2022 erbij) gaat eraf</t>
  </si>
  <si>
    <t>Klimaat en stikstof (2022 erbij) gaat eraf</t>
  </si>
  <si>
    <t>Minder Rijksbijdragen en daardoor minder ambtenaren</t>
  </si>
  <si>
    <t>Minder specifieke kosten, verhoging langdurige zorg</t>
  </si>
  <si>
    <t xml:space="preserve">Minder aan nutteloze ontwikkeling samenwerking </t>
  </si>
  <si>
    <t>Jeugdzorg niet meer naar Gemeentes, WMO hoger</t>
  </si>
  <si>
    <t>Verhoging OV bijdragen</t>
  </si>
  <si>
    <t>AOW alleenverdieners naar AOW alleenstaanden</t>
  </si>
  <si>
    <t>Werkgever premies 4% (wasWW 10,3 en 6,5 WIA) vermogen 26,6</t>
  </si>
  <si>
    <t>Verhoging Langdurige Zorg WLZ</t>
  </si>
  <si>
    <t>AOW premies (werknemers)</t>
  </si>
  <si>
    <t>WW WIA premies (werkgevers)</t>
  </si>
  <si>
    <t>Werkgever premies 4% (wasWW 10,3 en 6,5 WIA) vermogen 26,6 miljard</t>
  </si>
  <si>
    <t>Geen eigen bijdrage clienten WLZ</t>
  </si>
  <si>
    <t>Koopkracht verbetering</t>
  </si>
  <si>
    <t>Verwachte loonstijging ivm inflatie</t>
  </si>
  <si>
    <t>Minder Financiering publiek-private, investering Belastingdienst</t>
  </si>
  <si>
    <t>Klimaat en stikstof (2022 erbij) gaat eraf, NVWA gratis</t>
  </si>
  <si>
    <t>Energiebelasting naar nul</t>
  </si>
  <si>
    <t>Koopkracht verbeteringen 2024</t>
  </si>
  <si>
    <t>BBP Bruto Binnenlands Product</t>
  </si>
  <si>
    <t>in miljarden</t>
  </si>
  <si>
    <t>Staatsschuld</t>
  </si>
  <si>
    <t>Uitgaven overschot 2024</t>
  </si>
  <si>
    <t>Uitgaven defensie 2024</t>
  </si>
  <si>
    <t>Europese afstemming</t>
  </si>
  <si>
    <t>Kost Miljard Euros</t>
  </si>
  <si>
    <t>B.T.W. minder 0, 5, 15, 25%</t>
  </si>
  <si>
    <t>%BBP</t>
  </si>
  <si>
    <t>E U - NAVO</t>
  </si>
  <si>
    <t>Defensie naar 2% BBP</t>
  </si>
  <si>
    <t>Inkrimping medewerkers departementen voor niet realistische projecten</t>
  </si>
  <si>
    <t>Werkgevers gaan minder WW WIA ZW premie betalen, komt uit 26 miljard fonds</t>
  </si>
  <si>
    <t>Alleenverdieners gelijk AOW alleenstaanden, AOW clienten WLZ naar gezin AOW</t>
  </si>
  <si>
    <t>Grenzen dicht, strikt migratie protocol, migranten dragen bij en werken</t>
  </si>
  <si>
    <t>Minder Rijksbijdragen, geen heffingskortingen meer, 13 miljard minder</t>
  </si>
  <si>
    <t>Belastingen en Premies</t>
  </si>
  <si>
    <t>Belasting Op Inkomen</t>
  </si>
  <si>
    <t>Belastingvrije som</t>
  </si>
  <si>
    <t>Belasting 2024 20%, 2023 36,93%</t>
  </si>
  <si>
    <t xml:space="preserve">Belasting op Inkomen zonder heffingskortingen, vrij 10.000, 20% en + 25.000 +20% </t>
  </si>
  <si>
    <t xml:space="preserve">Meer mensen aan het werk, geen heffingskortingen </t>
  </si>
  <si>
    <t>Belasting 2024 40%, 2023 36,93%</t>
  </si>
  <si>
    <t>Belasting 2024 60%, 2023 36,93%</t>
  </si>
  <si>
    <t>Bruto Salaris 2024</t>
  </si>
  <si>
    <t>Bruto Salaris 2023</t>
  </si>
  <si>
    <t>Verandering Belastingschijven</t>
  </si>
  <si>
    <t>Geen belasting op eerste levensbehoeften</t>
  </si>
  <si>
    <t>Overheid; ontvangen belastingen en wettelijke premies</t>
  </si>
  <si>
    <t>CBS</t>
  </si>
  <si>
    <t>2022*</t>
  </si>
  <si>
    <t>2023**</t>
  </si>
  <si>
    <t>2024***</t>
  </si>
  <si>
    <t>Belastingen en wettelijke premies</t>
  </si>
  <si>
    <t>mln euro</t>
  </si>
  <si>
    <t>Belastingen totaal</t>
  </si>
  <si>
    <t>Zorgverzekering premie</t>
  </si>
  <si>
    <t xml:space="preserve">Premies volksverzekeringen </t>
  </si>
  <si>
    <t>Premies werknemersverzekeringen</t>
  </si>
  <si>
    <t>Totaal nagerekend belasting en wettelijke premies</t>
  </si>
  <si>
    <t>Belasting over toegevoegde waarde (BTW)</t>
  </si>
  <si>
    <t>Inkomstenbelasting</t>
  </si>
  <si>
    <t>Loonbelasting</t>
  </si>
  <si>
    <t>Vennootschapsbelasting</t>
  </si>
  <si>
    <t>Afvalstoffenbelasting</t>
  </si>
  <si>
    <t>Assurantiebelasting</t>
  </si>
  <si>
    <t>Baatbelasting</t>
  </si>
  <si>
    <t>Bankenbelasting (regulier)</t>
  </si>
  <si>
    <t>Bankenbelasting (resolutieheffing)</t>
  </si>
  <si>
    <t>Belasting personenauto's en motorrij...</t>
  </si>
  <si>
    <t>Belastingontvangsten van Caribisch Ned..</t>
  </si>
  <si>
    <t>Dividendbelasting</t>
  </si>
  <si>
    <t>Energiebelasting</t>
  </si>
  <si>
    <t>Erf- en schenkbelasting</t>
  </si>
  <si>
    <t>Grondwaterbelasting</t>
  </si>
  <si>
    <t>Hondenbelasting</t>
  </si>
  <si>
    <t>Kansspelbelasting</t>
  </si>
  <si>
    <t>Kapitaalbelasting</t>
  </si>
  <si>
    <t>Kolenbelasting</t>
  </si>
  <si>
    <t>Leidingwaterbelasting</t>
  </si>
  <si>
    <t>Motorrijtuigenbelasting</t>
  </si>
  <si>
    <t>Onroerendezaakbelasting</t>
  </si>
  <si>
    <t>Overdrachtsbelasting</t>
  </si>
  <si>
    <t>Reclamebelasting</t>
  </si>
  <si>
    <t>Toeristenbelasting</t>
  </si>
  <si>
    <t>Verbruiksbelasting op alcoholvrije dra..</t>
  </si>
  <si>
    <t>Vermogensbelasting</t>
  </si>
  <si>
    <t>Verpakkingenbelasting</t>
  </si>
  <si>
    <t>Vliegbelasting</t>
  </si>
  <si>
    <t>Woonforensenbelasting door gemeenten</t>
  </si>
  <si>
    <t>Bron: CBS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</si>
</sst>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 &quot;€&quot;\ * #,##0.00_ ;_ &quot;€&quot;\ * \-#,##0.00_ ;_ &quot;€&quot;\ * &quot;-&quot;??_ ;_ @_ "/>
    <numFmt numFmtId="164" formatCode="_(* #,##0.00_);_(* \(#,##0.00\);_(* &quot;-&quot;??_);_(@_)"/>
    <numFmt numFmtId="165" formatCode="mmmm\ yyyy"/>
    <numFmt numFmtId="166" formatCode="0.0%"/>
    <numFmt numFmtId="167" formatCode="mm/dd/yy;@"/>
    <numFmt numFmtId="168" formatCode="_ &quot;€ &quot;* #,##0_ ;_ &quot;€ &quot;* \-#,##0_ ;_ &quot;€ &quot;* \-??_ ;_ @_ "/>
    <numFmt numFmtId="169" formatCode="#,##0.0;[Red]\-#,##0.0"/>
    <numFmt numFmtId="170" formatCode="_ &quot;€&quot;\ * #,##0.0_ ;_ &quot;€&quot;\ * \-#,##0.0_ ;_ &quot;€&quot;\ * &quot;-&quot;??_ ;_ @_ "/>
  </numFmts>
  <fonts count="34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0"/>
      <name val="Gill Sans MT"/>
      <family val="2"/>
      <scheme val="major"/>
    </font>
    <font>
      <sz val="15"/>
      <color theme="0"/>
      <name val="Gill Sans MT"/>
      <family val="2"/>
      <scheme val="major"/>
    </font>
    <font>
      <sz val="30"/>
      <color theme="0"/>
      <name val="Gill Sans MT"/>
      <family val="2"/>
      <scheme val="major"/>
    </font>
    <font>
      <sz val="11"/>
      <color rgb="FF44382C"/>
      <name val="Gill Sans MT"/>
      <family val="2"/>
      <scheme val="major"/>
    </font>
    <font>
      <sz val="30"/>
      <color rgb="FF44382C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sz val="11"/>
      <color theme="0"/>
      <name val="Gill Sans MT (Body)"/>
    </font>
    <font>
      <sz val="30"/>
      <color theme="0"/>
      <name val="Gill Sans MT (Body)"/>
    </font>
    <font>
      <sz val="11"/>
      <color theme="1" tint="0.249977111117893"/>
      <name val="Gill Sans MT"/>
      <family val="2"/>
      <scheme val="minor"/>
    </font>
    <font>
      <b/>
      <sz val="11"/>
      <color theme="1" tint="0.249977111117893"/>
      <name val="Gill Sans MT"/>
      <family val="2"/>
      <scheme val="minor"/>
    </font>
    <font>
      <b/>
      <sz val="11"/>
      <color theme="1" tint="0.2499465926084170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60"/>
      <color theme="0"/>
      <name val="Gill Sans MT"/>
      <family val="2"/>
      <scheme val="major"/>
    </font>
    <font>
      <sz val="15"/>
      <color theme="0"/>
      <name val="Gill Sans MT"/>
      <family val="2"/>
      <scheme val="minor"/>
    </font>
    <font>
      <sz val="11"/>
      <color indexed="8"/>
      <name val="Calibri"/>
      <family val="2"/>
      <charset val="1"/>
    </font>
    <font>
      <sz val="12"/>
      <name val="Gill Sans MT"/>
      <family val="2"/>
      <scheme val="minor"/>
    </font>
    <font>
      <sz val="14"/>
      <color rgb="FF000000"/>
      <name val="Verdana"/>
      <family val="2"/>
    </font>
    <font>
      <sz val="10"/>
      <color rgb="FF000000"/>
      <name val="Gill Sans MT"/>
      <family val="2"/>
      <scheme val="minor"/>
    </font>
    <font>
      <b/>
      <sz val="11"/>
      <color indexed="8"/>
      <name val="Gill Sans MT"/>
      <family val="2"/>
      <scheme val="minor"/>
    </font>
    <font>
      <sz val="11"/>
      <color indexed="8"/>
      <name val="Gill Sans MT"/>
      <family val="2"/>
      <scheme val="minor"/>
    </font>
    <font>
      <b/>
      <sz val="10"/>
      <name val="Gill Sans MT"/>
      <family val="2"/>
      <scheme val="minor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749992370372631"/>
        <bgColor indexed="64"/>
      </patternFill>
    </fill>
    <fill>
      <patternFill patternType="solid">
        <fgColor theme="9" tint="-0.749961851863155"/>
        <bgColor indexed="64"/>
      </patternFill>
    </fill>
    <fill>
      <patternFill patternType="solid">
        <fgColor theme="3" tint="-0.24994659260841701"/>
        <bgColor theme="3" tint="-0.24994659260841701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4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7" fillId="0" borderId="0" applyNumberFormat="0" applyFill="0" applyAlignment="0" applyProtection="0"/>
    <xf numFmtId="0" fontId="7" fillId="6" borderId="0" applyBorder="0" applyProtection="0">
      <alignment horizontal="left" vertical="center" indent="1"/>
    </xf>
    <xf numFmtId="0" fontId="7" fillId="6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6" fontId="1" fillId="0" borderId="0" applyFont="0" applyFill="0" applyBorder="0" applyProtection="0">
      <alignment horizontal="right"/>
    </xf>
    <xf numFmtId="165" fontId="6" fillId="5" borderId="0" applyFill="0" applyBorder="0">
      <alignment horizontal="right"/>
    </xf>
    <xf numFmtId="0" fontId="15" fillId="0" borderId="0" applyNumberFormat="0" applyProtection="0">
      <alignment horizontal="left" vertical="center" indent="1"/>
    </xf>
    <xf numFmtId="0" fontId="16" fillId="7" borderId="1" applyNumberFormat="0" applyFill="0" applyBorder="0" applyAlignment="0" applyProtection="0"/>
    <xf numFmtId="0" fontId="26" fillId="0" borderId="0"/>
    <xf numFmtId="44" fontId="15" fillId="0" borderId="0" applyFont="0" applyFill="0" applyBorder="0" applyAlignment="0" applyProtection="0"/>
  </cellStyleXfs>
  <cellXfs count="133">
    <xf numFmtId="40" fontId="0" fillId="0" borderId="0" xfId="0">
      <alignment horizontal="center" vertical="center" wrapText="1"/>
    </xf>
    <xf numFmtId="40" fontId="0" fillId="5" borderId="0" xfId="0" applyFill="1">
      <alignment horizontal="center" vertical="center" wrapText="1"/>
    </xf>
    <xf numFmtId="40" fontId="0" fillId="0" borderId="0" xfId="0" applyAlignment="1">
      <alignment vertical="center"/>
    </xf>
    <xf numFmtId="40" fontId="0" fillId="2" borderId="0" xfId="0" applyFill="1">
      <alignment horizontal="center" vertical="center" wrapText="1"/>
    </xf>
    <xf numFmtId="40" fontId="0" fillId="5" borderId="0" xfId="0" applyFill="1" applyAlignment="1">
      <alignment vertical="center"/>
    </xf>
    <xf numFmtId="40" fontId="9" fillId="5" borderId="0" xfId="0" applyFont="1" applyFill="1">
      <alignment horizontal="center" vertical="center" wrapText="1"/>
    </xf>
    <xf numFmtId="40" fontId="9" fillId="5" borderId="0" xfId="0" applyFont="1" applyFill="1" applyAlignment="1">
      <alignment vertical="center"/>
    </xf>
    <xf numFmtId="40" fontId="9" fillId="0" borderId="0" xfId="0" applyFont="1">
      <alignment horizontal="center" vertical="center" wrapText="1"/>
    </xf>
    <xf numFmtId="40" fontId="8" fillId="0" borderId="0" xfId="0" applyFont="1">
      <alignment horizontal="center" vertical="center" wrapText="1"/>
    </xf>
    <xf numFmtId="0" fontId="5" fillId="0" borderId="0" xfId="1"/>
    <xf numFmtId="40" fontId="15" fillId="0" borderId="0" xfId="13" applyNumberFormat="1">
      <alignment horizontal="left" vertical="center" indent="1"/>
    </xf>
    <xf numFmtId="40" fontId="17" fillId="0" borderId="0" xfId="5" applyNumberFormat="1" applyAlignment="1">
      <alignment horizontal="center" vertical="center" wrapText="1"/>
    </xf>
    <xf numFmtId="40" fontId="17" fillId="0" borderId="0" xfId="5" applyNumberFormat="1" applyAlignment="1">
      <alignment horizontal="left" vertical="center" indent="1"/>
    </xf>
    <xf numFmtId="40" fontId="0" fillId="8" borderId="0" xfId="0" applyFill="1">
      <alignment horizontal="center" vertical="center" wrapText="1"/>
    </xf>
    <xf numFmtId="40" fontId="3" fillId="5" borderId="0" xfId="4" applyNumberFormat="1" applyFont="1" applyFill="1"/>
    <xf numFmtId="40" fontId="3" fillId="5" borderId="0" xfId="8" applyNumberFormat="1" applyFont="1" applyFill="1"/>
    <xf numFmtId="40" fontId="3" fillId="5" borderId="0" xfId="0" applyFont="1" applyFill="1">
      <alignment horizontal="center" vertical="center" wrapText="1"/>
    </xf>
    <xf numFmtId="164" fontId="3" fillId="5" borderId="0" xfId="3" applyNumberFormat="1" applyFont="1" applyFill="1"/>
    <xf numFmtId="0" fontId="3" fillId="5" borderId="0" xfId="3" applyFont="1" applyFill="1" applyAlignment="1">
      <alignment vertical="center"/>
    </xf>
    <xf numFmtId="40" fontId="18" fillId="8" borderId="0" xfId="0" applyFont="1" applyFill="1">
      <alignment horizontal="center" vertical="center" wrapText="1"/>
    </xf>
    <xf numFmtId="0" fontId="3" fillId="5" borderId="0" xfId="3" applyFont="1" applyFill="1"/>
    <xf numFmtId="40" fontId="20" fillId="0" borderId="0" xfId="13" applyNumberFormat="1" applyFont="1">
      <alignment horizontal="left" vertical="center" indent="1"/>
    </xf>
    <xf numFmtId="40" fontId="20" fillId="0" borderId="0" xfId="0" applyFont="1">
      <alignment horizontal="center" vertical="center" wrapText="1"/>
    </xf>
    <xf numFmtId="166" fontId="20" fillId="0" borderId="0" xfId="11" applyFont="1" applyAlignment="1">
      <alignment horizontal="center" vertical="center"/>
    </xf>
    <xf numFmtId="40" fontId="21" fillId="0" borderId="0" xfId="0" applyFont="1">
      <alignment horizontal="center" vertical="center" wrapText="1"/>
    </xf>
    <xf numFmtId="40" fontId="0" fillId="0" borderId="0" xfId="0" applyAlignment="1">
      <alignment horizontal="center" vertical="top" wrapText="1"/>
    </xf>
    <xf numFmtId="40" fontId="13" fillId="9" borderId="0" xfId="0" applyFont="1" applyFill="1" applyAlignment="1">
      <alignment horizontal="left" wrapText="1"/>
    </xf>
    <xf numFmtId="40" fontId="14" fillId="9" borderId="0" xfId="0" applyFont="1" applyFill="1" applyAlignment="1">
      <alignment vertical="center" wrapText="1"/>
    </xf>
    <xf numFmtId="40" fontId="9" fillId="9" borderId="0" xfId="0" applyFont="1" applyFill="1" applyAlignment="1">
      <alignment horizontal="center" vertical="top" wrapText="1"/>
    </xf>
    <xf numFmtId="167" fontId="10" fillId="10" borderId="0" xfId="0" applyNumberFormat="1" applyFont="1" applyFill="1" applyAlignment="1">
      <alignment horizontal="left" wrapText="1"/>
    </xf>
    <xf numFmtId="40" fontId="0" fillId="10" borderId="0" xfId="0" applyFill="1">
      <alignment horizontal="center" vertical="center" wrapText="1"/>
    </xf>
    <xf numFmtId="40" fontId="12" fillId="10" borderId="0" xfId="0" applyFont="1" applyFill="1" applyAlignment="1">
      <alignment vertical="center" wrapText="1"/>
    </xf>
    <xf numFmtId="40" fontId="0" fillId="5" borderId="0" xfId="0" applyFill="1" applyAlignment="1">
      <alignment horizontal="center" wrapText="1"/>
    </xf>
    <xf numFmtId="40" fontId="12" fillId="11" borderId="0" xfId="0" applyFont="1" applyFill="1" applyAlignment="1">
      <alignment vertical="center" wrapText="1"/>
    </xf>
    <xf numFmtId="40" fontId="0" fillId="11" borderId="0" xfId="0" applyFill="1">
      <alignment horizontal="center" vertical="center" wrapText="1"/>
    </xf>
    <xf numFmtId="40" fontId="12" fillId="9" borderId="0" xfId="0" applyFont="1" applyFill="1" applyAlignment="1">
      <alignment vertical="center" wrapText="1"/>
    </xf>
    <xf numFmtId="40" fontId="0" fillId="9" borderId="0" xfId="0" applyFill="1">
      <alignment horizontal="center" vertical="center" wrapText="1"/>
    </xf>
    <xf numFmtId="40" fontId="18" fillId="11" borderId="0" xfId="0" applyFont="1" applyFill="1" applyAlignment="1">
      <alignment horizontal="left" wrapText="1"/>
    </xf>
    <xf numFmtId="40" fontId="18" fillId="12" borderId="0" xfId="0" applyFont="1" applyFill="1" applyAlignment="1">
      <alignment horizontal="left" wrapText="1"/>
    </xf>
    <xf numFmtId="40" fontId="14" fillId="12" borderId="0" xfId="0" applyFont="1" applyFill="1" applyAlignment="1">
      <alignment vertical="center" wrapText="1"/>
    </xf>
    <xf numFmtId="40" fontId="18" fillId="12" borderId="0" xfId="0" applyFont="1" applyFill="1" applyAlignment="1">
      <alignment horizontal="right" vertical="top" wrapText="1"/>
    </xf>
    <xf numFmtId="40" fontId="12" fillId="12" borderId="0" xfId="0" applyFont="1" applyFill="1" applyAlignment="1">
      <alignment vertical="center" wrapText="1"/>
    </xf>
    <xf numFmtId="40" fontId="0" fillId="12" borderId="0" xfId="0" applyFill="1">
      <alignment horizontal="center" vertical="center" wrapText="1"/>
    </xf>
    <xf numFmtId="40" fontId="19" fillId="11" borderId="0" xfId="0" applyFont="1" applyFill="1" applyAlignment="1">
      <alignment vertical="center" wrapText="1"/>
    </xf>
    <xf numFmtId="40" fontId="18" fillId="11" borderId="0" xfId="0" applyFont="1" applyFill="1" applyAlignment="1">
      <alignment horizontal="center" vertical="top" wrapText="1"/>
    </xf>
    <xf numFmtId="40" fontId="22" fillId="0" borderId="0" xfId="0" applyFont="1">
      <alignment horizontal="center" vertical="center" wrapText="1"/>
    </xf>
    <xf numFmtId="0" fontId="22" fillId="0" borderId="0" xfId="0" applyNumberFormat="1" applyFont="1">
      <alignment horizontal="center" vertical="center" wrapText="1"/>
    </xf>
    <xf numFmtId="40" fontId="12" fillId="10" borderId="0" xfId="0" applyFont="1" applyFill="1" applyAlignment="1">
      <alignment vertical="top" wrapText="1"/>
    </xf>
    <xf numFmtId="167" fontId="9" fillId="9" borderId="0" xfId="0" applyNumberFormat="1" applyFont="1" applyFill="1" applyAlignment="1">
      <alignment horizontal="right" wrapText="1" indent="2"/>
    </xf>
    <xf numFmtId="40" fontId="24" fillId="10" borderId="0" xfId="0" applyFont="1" applyFill="1" applyAlignment="1">
      <alignment horizontal="left" vertical="center" indent="2"/>
    </xf>
    <xf numFmtId="40" fontId="24" fillId="10" borderId="0" xfId="0" applyFont="1" applyFill="1" applyAlignment="1">
      <alignment horizontal="left" vertical="center" indent="1"/>
    </xf>
    <xf numFmtId="40" fontId="17" fillId="0" borderId="0" xfId="5" applyNumberFormat="1" applyFill="1" applyAlignment="1">
      <alignment horizontal="left" vertical="center" indent="1"/>
    </xf>
    <xf numFmtId="40" fontId="17" fillId="0" borderId="0" xfId="5" applyNumberFormat="1" applyFill="1" applyAlignment="1">
      <alignment horizontal="center" vertical="center" wrapText="1"/>
    </xf>
    <xf numFmtId="40" fontId="21" fillId="0" borderId="0" xfId="0" applyFont="1" applyAlignment="1">
      <alignment horizontal="left" vertical="center" indent="1"/>
    </xf>
    <xf numFmtId="166" fontId="21" fillId="0" borderId="0" xfId="0" applyNumberFormat="1" applyFont="1" applyAlignment="1">
      <alignment horizontal="center" vertical="center"/>
    </xf>
    <xf numFmtId="167" fontId="9" fillId="11" borderId="0" xfId="0" applyNumberFormat="1" applyFont="1" applyFill="1" applyAlignment="1">
      <alignment horizontal="right" wrapText="1" indent="2"/>
    </xf>
    <xf numFmtId="167" fontId="9" fillId="12" borderId="0" xfId="0" applyNumberFormat="1" applyFont="1" applyFill="1" applyAlignment="1">
      <alignment horizontal="right" wrapText="1" indent="2"/>
    </xf>
    <xf numFmtId="40" fontId="22" fillId="0" borderId="0" xfId="0" applyFont="1" applyAlignment="1">
      <alignment horizontal="left" vertical="center" indent="1"/>
    </xf>
    <xf numFmtId="40" fontId="17" fillId="13" borderId="0" xfId="5" applyNumberFormat="1" applyFill="1" applyAlignment="1">
      <alignment horizontal="left" vertical="center" indent="1"/>
    </xf>
    <xf numFmtId="40" fontId="17" fillId="13" borderId="0" xfId="5" applyNumberFormat="1" applyFill="1" applyAlignment="1">
      <alignment horizontal="center" vertical="center" wrapText="1"/>
    </xf>
    <xf numFmtId="38" fontId="3" fillId="5" borderId="0" xfId="0" applyNumberFormat="1" applyFont="1" applyFill="1">
      <alignment horizontal="center" vertical="center" wrapText="1"/>
    </xf>
    <xf numFmtId="38" fontId="3" fillId="0" borderId="0" xfId="0" applyNumberFormat="1" applyFont="1">
      <alignment horizontal="center" vertical="center" wrapText="1"/>
    </xf>
    <xf numFmtId="40" fontId="0" fillId="2" borderId="0" xfId="13" applyNumberFormat="1" applyFont="1" applyFill="1">
      <alignment horizontal="left" vertical="center" indent="1"/>
    </xf>
    <xf numFmtId="168" fontId="16" fillId="0" borderId="2" xfId="0" applyNumberFormat="1" applyFont="1" applyBorder="1" applyAlignment="1"/>
    <xf numFmtId="38" fontId="16" fillId="0" borderId="0" xfId="14" applyNumberFormat="1" applyFill="1" applyBorder="1" applyAlignment="1">
      <alignment horizontal="center" vertical="center" wrapText="1"/>
    </xf>
    <xf numFmtId="38" fontId="16" fillId="0" borderId="0" xfId="0" applyNumberFormat="1" applyFont="1">
      <alignment horizontal="center" vertical="center" wrapText="1"/>
    </xf>
    <xf numFmtId="40" fontId="27" fillId="0" borderId="0" xfId="5" applyNumberFormat="1" applyFont="1" applyFill="1" applyAlignment="1">
      <alignment horizontal="center" vertical="center" wrapText="1"/>
    </xf>
    <xf numFmtId="40" fontId="3" fillId="0" borderId="0" xfId="0" applyFont="1">
      <alignment horizontal="center" vertical="center" wrapText="1"/>
    </xf>
    <xf numFmtId="40" fontId="27" fillId="0" borderId="0" xfId="5" applyNumberFormat="1" applyFont="1" applyAlignment="1">
      <alignment horizontal="center" vertical="center" wrapText="1"/>
    </xf>
    <xf numFmtId="40" fontId="16" fillId="0" borderId="0" xfId="0" applyFont="1">
      <alignment horizontal="center" vertical="center" wrapText="1"/>
    </xf>
    <xf numFmtId="38" fontId="20" fillId="0" borderId="0" xfId="0" applyNumberFormat="1" applyFont="1">
      <alignment horizontal="center" vertical="center" wrapText="1"/>
    </xf>
    <xf numFmtId="38" fontId="21" fillId="0" borderId="0" xfId="0" applyNumberFormat="1" applyFont="1">
      <alignment horizontal="center" vertical="center" wrapText="1"/>
    </xf>
    <xf numFmtId="169" fontId="20" fillId="0" borderId="0" xfId="13" applyNumberFormat="1" applyFont="1">
      <alignment horizontal="left" vertical="center" indent="1"/>
    </xf>
    <xf numFmtId="40" fontId="17" fillId="9" borderId="0" xfId="5" applyNumberFormat="1" applyFill="1" applyAlignment="1">
      <alignment horizontal="left" vertical="center" indent="1"/>
    </xf>
    <xf numFmtId="40" fontId="17" fillId="15" borderId="0" xfId="5" applyNumberFormat="1" applyFill="1" applyAlignment="1">
      <alignment horizontal="left" vertical="center" indent="1"/>
    </xf>
    <xf numFmtId="166" fontId="20" fillId="0" borderId="0" xfId="11" applyFont="1" applyAlignment="1">
      <alignment horizontal="center"/>
    </xf>
    <xf numFmtId="40" fontId="17" fillId="14" borderId="0" xfId="5" applyNumberFormat="1" applyFill="1" applyAlignment="1">
      <alignment horizontal="left" vertical="center" indent="1"/>
    </xf>
    <xf numFmtId="40" fontId="17" fillId="0" borderId="0" xfId="5" applyNumberFormat="1" applyAlignment="1">
      <alignment horizontal="right" vertical="center" wrapText="1"/>
    </xf>
    <xf numFmtId="38" fontId="20" fillId="0" borderId="0" xfId="0" applyNumberFormat="1" applyFont="1" applyAlignment="1">
      <alignment horizontal="right" vertical="center" wrapText="1"/>
    </xf>
    <xf numFmtId="40" fontId="21" fillId="0" borderId="0" xfId="0" applyFont="1" applyAlignment="1">
      <alignment horizontal="right" vertical="center" wrapText="1"/>
    </xf>
    <xf numFmtId="40" fontId="28" fillId="0" borderId="0" xfId="0" applyFont="1">
      <alignment horizontal="center" vertical="center" wrapText="1"/>
    </xf>
    <xf numFmtId="166" fontId="3" fillId="0" borderId="0" xfId="11" applyFont="1">
      <alignment horizontal="right"/>
    </xf>
    <xf numFmtId="166" fontId="29" fillId="0" borderId="0" xfId="11" applyFont="1">
      <alignment horizontal="right"/>
    </xf>
    <xf numFmtId="38" fontId="17" fillId="13" borderId="0" xfId="5" applyNumberFormat="1" applyFill="1" applyAlignment="1">
      <alignment horizontal="center" vertical="center" wrapText="1"/>
    </xf>
    <xf numFmtId="170" fontId="3" fillId="0" borderId="0" xfId="16" applyNumberFormat="1" applyFont="1" applyAlignment="1">
      <alignment horizontal="center" vertical="center" wrapText="1"/>
    </xf>
    <xf numFmtId="170" fontId="16" fillId="0" borderId="0" xfId="16" applyNumberFormat="1" applyFont="1" applyAlignment="1">
      <alignment horizontal="center" vertical="center" wrapText="1"/>
    </xf>
    <xf numFmtId="170" fontId="20" fillId="0" borderId="0" xfId="16" applyNumberFormat="1" applyFont="1" applyAlignment="1">
      <alignment horizontal="center" vertical="center" wrapText="1"/>
    </xf>
    <xf numFmtId="170" fontId="20" fillId="0" borderId="0" xfId="0" applyNumberFormat="1" applyFont="1">
      <alignment horizontal="center" vertical="center" wrapText="1"/>
    </xf>
    <xf numFmtId="170" fontId="21" fillId="0" borderId="0" xfId="16" applyNumberFormat="1" applyFont="1" applyAlignment="1">
      <alignment horizontal="center" vertical="center" wrapText="1"/>
    </xf>
    <xf numFmtId="166" fontId="0" fillId="0" borderId="0" xfId="11" applyFont="1">
      <alignment horizontal="right"/>
    </xf>
    <xf numFmtId="38" fontId="20" fillId="0" borderId="0" xfId="10" applyNumberFormat="1" applyFont="1">
      <alignment horizontal="right"/>
    </xf>
    <xf numFmtId="0" fontId="30" fillId="16" borderId="3" xfId="15" applyFont="1" applyFill="1" applyBorder="1"/>
    <xf numFmtId="0" fontId="31" fillId="16" borderId="3" xfId="15" applyFont="1" applyFill="1" applyBorder="1"/>
    <xf numFmtId="0" fontId="31" fillId="0" borderId="2" xfId="15" applyFont="1" applyBorder="1"/>
    <xf numFmtId="0" fontId="30" fillId="0" borderId="2" xfId="15" applyFont="1" applyBorder="1" applyAlignment="1">
      <alignment horizontal="right"/>
    </xf>
    <xf numFmtId="44" fontId="30" fillId="0" borderId="2" xfId="16" applyFont="1" applyFill="1" applyBorder="1" applyAlignment="1" applyProtection="1">
      <alignment horizontal="right"/>
    </xf>
    <xf numFmtId="40" fontId="32" fillId="0" borderId="2" xfId="0" applyFont="1" applyBorder="1" applyAlignment="1">
      <alignment horizontal="right"/>
    </xf>
    <xf numFmtId="0" fontId="31" fillId="0" borderId="2" xfId="15" applyFont="1" applyBorder="1" applyAlignment="1">
      <alignment horizontal="right"/>
    </xf>
    <xf numFmtId="44" fontId="31" fillId="0" borderId="2" xfId="16" applyFont="1" applyFill="1" applyBorder="1" applyAlignment="1" applyProtection="1">
      <alignment horizontal="right"/>
    </xf>
    <xf numFmtId="0" fontId="30" fillId="17" borderId="2" xfId="15" applyFont="1" applyFill="1" applyBorder="1"/>
    <xf numFmtId="168" fontId="30" fillId="17" borderId="2" xfId="16" applyNumberFormat="1" applyFont="1" applyFill="1" applyBorder="1"/>
    <xf numFmtId="40" fontId="0" fillId="0" borderId="2" xfId="0" applyBorder="1" applyAlignment="1"/>
    <xf numFmtId="168" fontId="31" fillId="0" borderId="2" xfId="16" applyNumberFormat="1" applyFont="1" applyBorder="1"/>
    <xf numFmtId="168" fontId="0" fillId="0" borderId="2" xfId="0" applyNumberFormat="1" applyBorder="1" applyAlignment="1"/>
    <xf numFmtId="168" fontId="15" fillId="0" borderId="2" xfId="16" applyNumberFormat="1" applyBorder="1"/>
    <xf numFmtId="40" fontId="33" fillId="18" borderId="2" xfId="0" applyFont="1" applyFill="1" applyBorder="1" applyAlignment="1"/>
    <xf numFmtId="168" fontId="33" fillId="18" borderId="2" xfId="0" applyNumberFormat="1" applyFont="1" applyFill="1" applyBorder="1" applyAlignment="1"/>
    <xf numFmtId="0" fontId="30" fillId="0" borderId="2" xfId="15" applyFont="1" applyBorder="1"/>
    <xf numFmtId="168" fontId="30" fillId="0" borderId="2" xfId="16" applyNumberFormat="1" applyFont="1" applyBorder="1"/>
    <xf numFmtId="0" fontId="30" fillId="19" borderId="2" xfId="15" applyFont="1" applyFill="1" applyBorder="1"/>
    <xf numFmtId="168" fontId="30" fillId="19" borderId="2" xfId="16" applyNumberFormat="1" applyFont="1" applyFill="1" applyBorder="1"/>
    <xf numFmtId="40" fontId="16" fillId="19" borderId="2" xfId="0" applyFont="1" applyFill="1" applyBorder="1" applyAlignment="1"/>
    <xf numFmtId="40" fontId="16" fillId="17" borderId="2" xfId="0" applyFont="1" applyFill="1" applyBorder="1" applyAlignment="1"/>
    <xf numFmtId="168" fontId="31" fillId="17" borderId="2" xfId="16" applyNumberFormat="1" applyFont="1" applyFill="1" applyBorder="1"/>
    <xf numFmtId="40" fontId="3" fillId="0" borderId="2" xfId="0" applyFont="1" applyBorder="1" applyAlignment="1"/>
    <xf numFmtId="168" fontId="31" fillId="0" borderId="2" xfId="16" quotePrefix="1" applyNumberFormat="1" applyFont="1" applyBorder="1"/>
    <xf numFmtId="40" fontId="3" fillId="18" borderId="2" xfId="0" applyFont="1" applyFill="1" applyBorder="1" applyAlignment="1"/>
    <xf numFmtId="168" fontId="31" fillId="18" borderId="2" xfId="16" applyNumberFormat="1" applyFont="1" applyFill="1" applyBorder="1"/>
    <xf numFmtId="40" fontId="3" fillId="17" borderId="2" xfId="0" applyFont="1" applyFill="1" applyBorder="1" applyAlignment="1"/>
    <xf numFmtId="40" fontId="16" fillId="0" borderId="2" xfId="0" applyFont="1" applyBorder="1" applyAlignment="1"/>
    <xf numFmtId="40" fontId="16" fillId="18" borderId="2" xfId="0" applyFont="1" applyFill="1" applyBorder="1" applyAlignment="1"/>
    <xf numFmtId="40" fontId="11" fillId="10" borderId="0" xfId="0" applyFont="1" applyFill="1" applyAlignment="1">
      <alignment horizontal="left" wrapText="1" indent="2"/>
    </xf>
    <xf numFmtId="40" fontId="23" fillId="5" borderId="0" xfId="0" applyFont="1" applyFill="1" applyAlignment="1">
      <alignment horizontal="left" vertical="top" wrapText="1"/>
    </xf>
    <xf numFmtId="40" fontId="9" fillId="5" borderId="0" xfId="0" applyFont="1" applyFill="1" applyAlignment="1">
      <alignment horizontal="left" vertical="top" wrapText="1"/>
    </xf>
    <xf numFmtId="40" fontId="25" fillId="12" borderId="0" xfId="0" applyFont="1" applyFill="1" applyAlignment="1">
      <alignment horizontal="left" wrapText="1" indent="1"/>
    </xf>
    <xf numFmtId="40" fontId="12" fillId="12" borderId="0" xfId="0" applyFont="1" applyFill="1" applyAlignment="1">
      <alignment horizontal="left" vertical="top" wrapText="1" indent="1"/>
    </xf>
    <xf numFmtId="40" fontId="12" fillId="12" borderId="0" xfId="0" applyFont="1" applyFill="1" applyAlignment="1">
      <alignment vertical="top" wrapText="1"/>
    </xf>
    <xf numFmtId="40" fontId="11" fillId="9" borderId="0" xfId="0" applyFont="1" applyFill="1" applyAlignment="1">
      <alignment horizontal="left" wrapText="1" indent="1"/>
    </xf>
    <xf numFmtId="40" fontId="12" fillId="9" borderId="0" xfId="0" applyFont="1" applyFill="1" applyAlignment="1">
      <alignment horizontal="left" vertical="top" wrapText="1" indent="1"/>
    </xf>
    <xf numFmtId="40" fontId="12" fillId="9" borderId="0" xfId="0" applyFont="1" applyFill="1" applyAlignment="1">
      <alignment vertical="top" wrapText="1"/>
    </xf>
    <xf numFmtId="40" fontId="11" fillId="11" borderId="0" xfId="0" applyFont="1" applyFill="1" applyAlignment="1">
      <alignment horizontal="left" wrapText="1" indent="1"/>
    </xf>
    <xf numFmtId="40" fontId="12" fillId="11" borderId="0" xfId="0" applyFont="1" applyFill="1" applyAlignment="1">
      <alignment horizontal="left" vertical="top" wrapText="1" indent="1"/>
    </xf>
    <xf numFmtId="40" fontId="12" fillId="11" borderId="0" xfId="0" applyFont="1" applyFill="1" applyAlignment="1">
      <alignment vertical="top" wrapText="1"/>
    </xf>
  </cellXfs>
  <cellStyles count="17">
    <cellStyle name="20% - Accent5" xfId="4" builtinId="46"/>
    <cellStyle name="60% - Accent4" xfId="3" builtinId="44" customBuiltin="1"/>
    <cellStyle name="Date" xfId="12" xr:uid="{00000000-0005-0000-0000-000003000000}"/>
    <cellStyle name="Excel Built-in Normal" xfId="15" xr:uid="{0CEBFC09-F353-499E-BDFF-8D1C333FB1B0}"/>
    <cellStyle name="Invoer" xfId="13" builtinId="20" customBuiltin="1"/>
    <cellStyle name="Komma" xfId="10" builtinId="3" customBuiltin="1"/>
    <cellStyle name="Kop 1" xfId="5" builtinId="16" customBuiltin="1"/>
    <cellStyle name="Kop 2" xfId="6" builtinId="17" customBuiltin="1"/>
    <cellStyle name="Kop 3" xfId="7" builtinId="18" customBuiltin="1"/>
    <cellStyle name="Kop 4" xfId="2" builtinId="19" customBuiltin="1"/>
    <cellStyle name="Procent" xfId="11" builtinId="5" customBuiltin="1"/>
    <cellStyle name="Standaard" xfId="0" builtinId="0" customBuiltin="1"/>
    <cellStyle name="Titel" xfId="1" builtinId="15" customBuiltin="1"/>
    <cellStyle name="Totaal" xfId="8" builtinId="25" customBuiltin="1"/>
    <cellStyle name="Uitvoer" xfId="14" builtinId="21" customBuiltin="1"/>
    <cellStyle name="Valuta" xfId="16" builtinId="4"/>
    <cellStyle name="Waarschuwingstekst" xfId="9" builtinId="11" customBuiltin="1"/>
  </cellStyles>
  <dxfs count="77"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</dxf>
    <dxf>
      <numFmt numFmtId="8" formatCode="#,##0.00;[Red]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</dxf>
    <dxf>
      <numFmt numFmtId="8" formatCode="#,##0.00;[Red]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</dxf>
    <dxf>
      <numFmt numFmtId="8" formatCode="#,##0.00;[Red]\-#,##0.00"/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</dxf>
    <dxf>
      <numFmt numFmtId="8" formatCode="#,##0.00;[Red]\-#,##0.0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numFmt numFmtId="6" formatCode="#,##0;[Red]\-#,##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numFmt numFmtId="166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6" formatCode="#,##0;[Red]\-#,##0"/>
    </dxf>
    <dxf>
      <numFmt numFmtId="6" formatCode="#,##0;[Red]\-#,##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70" formatCode="_ &quot;€&quot;\ * #,##0.0_ ;_ &quot;€&quot;\ * \-#,##0.0_ ;_ &quot;€&quot;\ * &quot;-&quot;??_ ;_ @_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70" formatCode="_ &quot;€&quot;\ * #,##0.0_ ;_ &quot;€&quot;\ * \-#,##0.0_ ;_ &quot;€&quot;\ * &quot;-&quot;??_ ;_ @_ 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70" formatCode="_ &quot;€&quot;\ * #,##0.0_ ;_ &quot;€&quot;\ * \-#,##0.0_ ;_ &quot;€&quot;\ * &quot;-&quot;??_ ;_ @_ 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170" formatCode="_ &quot;€&quot;\ * #,##0.0_ ;_ &quot;€&quot;\ * \-#,##0.0_ ;_ &quot;€&quot;\ * &quot;-&quot;??_ ;_ @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numFmt numFmtId="170" formatCode="_ &quot;€&quot;\ * #,##0.0_ ;_ &quot;€&quot;\ * \-#,##0.0_ ;_ &quot;€&quot;\ * &quot;-&quot;??_ ;_ @_ 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numFmt numFmtId="166" formatCode="0.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fgColor theme="3" tint="-0.24994659260841701"/>
          <bgColor theme="3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theme="9" tint="-0.749961851863155"/>
        </patternFill>
      </fill>
    </dxf>
  </dxfs>
  <tableStyles count="5" defaultTableStyle="Monthly Budget" defaultPivotStyle="PivotStyleLight16">
    <tableStyle name="Income" pivot="0" count="3" xr9:uid="{39CD2CDA-2AC2-7047-981A-EFD1CC94014D}">
      <tableStyleElement type="headerRow" dxfId="76"/>
      <tableStyleElement type="totalRow" dxfId="75"/>
      <tableStyleElement type="firstRowStripe" dxfId="74"/>
    </tableStyle>
    <tableStyle name="Monthly Budget" pivot="0" count="5" xr9:uid="{00000000-0011-0000-FFFF-FFFF00000000}">
      <tableStyleElement type="wholeTable" dxfId="73"/>
      <tableStyleElement type="headerRow" dxfId="72"/>
      <tableStyleElement type="totalRow" dxfId="71"/>
      <tableStyleElement type="lastColumn" dxfId="70"/>
      <tableStyleElement type="secondRowStripe" dxfId="69"/>
    </tableStyle>
    <tableStyle name="Operating Expenses" pivot="0" count="3" xr9:uid="{238C2E5E-FCB8-3443-8813-412B84A4CEAB}">
      <tableStyleElement type="headerRow" dxfId="68"/>
      <tableStyleElement type="totalRow" dxfId="67"/>
      <tableStyleElement type="secondRowStripe" dxfId="66"/>
    </tableStyle>
    <tableStyle name="Personal Expenses" pivot="0" count="3" xr9:uid="{9C928B7B-F361-4645-BF1B-B9861077DF97}">
      <tableStyleElement type="headerRow" dxfId="65"/>
      <tableStyleElement type="totalRow" dxfId="64"/>
      <tableStyleElement type="secondRowStripe" dxfId="63"/>
    </tableStyle>
    <tableStyle name="Summary" pivot="0" count="4" xr9:uid="{2F7C3F75-98F9-6B44-A135-CEB2FB9A67FB}">
      <tableStyleElement type="headerRow" dxfId="62"/>
      <tableStyleElement type="totalRow" dxfId="61"/>
      <tableStyleElement type="lastColumn" dxfId="60"/>
      <tableStyleElement type="secondRowStripe" dxfId="59"/>
    </tableStyle>
  </tableStyles>
  <colors>
    <mruColors>
      <color rgb="FFD4E6D0"/>
      <color rgb="FFEEEADE"/>
      <color rgb="FF44382C"/>
      <color rgb="FFFFFDF8"/>
      <color rgb="FFA7937B"/>
      <color rgb="FFF2F2F2"/>
      <color rgb="FF5A5044"/>
      <color rgb="FF252525"/>
      <color rgb="FFCD9620"/>
      <color rgb="FFF44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>
  <tableColumns count="4">
    <tableColumn id="1" xr3:uid="{00000000-0010-0000-0100-000001000000}" name="Koopkracht verbeteringen 2024" totalsRowLabel="Koopkracht verbetering" dataDxfId="58" totalsRowDxfId="57">
      <calculatedColumnFormula>INDEX(OperatingExpenses[],MATCH(Top5Expenses[[#This Row],[Aantal Burgers]],OperatingExpenses[TOP 5 AMOUNT],0),1)</calculatedColumnFormula>
    </tableColumn>
    <tableColumn id="2" xr3:uid="{00000000-0010-0000-0100-000002000000}" name="Aantal Burgers" totalsRowLabel=" " dataDxfId="56" totalsRowDxfId="55"/>
    <tableColumn id="3" xr3:uid="{00000000-0010-0000-0100-000003000000}" name="% Verbetering" totalsRowFunction="sum" dataDxfId="54" totalsRowDxfId="53">
      <calculatedColumnFormula>Top5Expenses[[#This Row],[Aantal Burgers]]/$D$8</calculatedColumnFormula>
    </tableColumn>
    <tableColumn id="4" xr3:uid="{00000000-0010-0000-0100-000004000000}" name="Kost Miljard Euros" totalsRowFunction="sum" dataDxfId="52" totalsRowDxfId="51" totalsRowCellStyle="Valuta">
      <calculatedColumnFormula>Top5Expenses[[#This Row],[Aantal Burgers]]*0.15</calculatedColumnFormula>
    </tableColumn>
  </tableColumns>
  <tableStyleInfo name="Summary" showFirstColumn="0" showLastColumn="0" showRowStripes="1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5:E9" totalsRowCount="1" dataDxfId="50" totalsRowDxfId="49">
  <autoFilter ref="B5:E8" xr:uid="{47B637C1-818B-4BED-881E-062FC4FD7398}"/>
  <tableColumns count="4">
    <tableColumn id="1" xr3:uid="{1F3E0BC5-EBB5-4EC3-A58F-4EC1C5D18EDD}" name="Begroting Totaal" totalsRowLabel="Belastingen - Uitgaven" dataDxfId="48" totalsRowDxfId="47"/>
    <tableColumn id="2" xr3:uid="{97762248-6052-4C5E-B7CD-C84E3157FFDA}" name="Begroot 2024" totalsRowFunction="custom" dataDxfId="46" totalsRowDxfId="45" dataCellStyle="Valuta" totalsRowCellStyle="Valuta">
      <totalsRowFormula>C6-C7-C8</totalsRowFormula>
    </tableColumn>
    <tableColumn id="3" xr3:uid="{4B6AA04A-DDC8-43A6-A51B-A82E80AD793F}" name="Begroot 2023" totalsRowFunction="custom" dataDxfId="44" totalsRowDxfId="43" dataCellStyle="Valuta" totalsRowCellStyle="Valuta">
      <totalsRowFormula>D6-D7-D8</totalsRowFormula>
    </tableColumn>
    <tableColumn id="4" xr3:uid="{421FA974-B591-456B-8462-4F763A15D3C5}" name="Verschil" dataDxfId="42" totalsRowDxfId="41"/>
  </tableColumns>
  <tableStyleInfo name="Summary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0A6CABD-47BC-4AB2-90A4-8C6C1F87B572}" name="Top5Expenses5" displayName="Top5Expenses5" ref="B19:E25" totalsRowCount="1">
  <tableColumns count="4">
    <tableColumn id="1" xr3:uid="{E89588FD-B0DB-4282-805E-F522D457B6DE}" name="Europese afstemming" totalsRowLabel=" " dataDxfId="40" totalsRowDxfId="39">
      <calculatedColumnFormula>INDEX(OperatingExpenses[],MATCH(Top5Expenses5[[#This Row],[in miljarden]],OperatingExpenses[TOP 5 AMOUNT],0),1)</calculatedColumnFormula>
    </tableColumn>
    <tableColumn id="2" xr3:uid="{BB34C0C7-BDEB-4E17-9006-BA8E0A503DE6}" name="in miljarden" totalsRowLabel=" " dataDxfId="38" totalsRowDxfId="37"/>
    <tableColumn id="3" xr3:uid="{E2AD7162-303A-4B91-B1FA-A8E252260496}" name="%BBP" totalsRowLabel=" " dataDxfId="36" totalsRowDxfId="35">
      <calculatedColumnFormula>Top5Expenses5[[#This Row],[in miljarden]]/$D$8</calculatedColumnFormula>
    </tableColumn>
    <tableColumn id="4" xr3:uid="{9D1098FD-793B-4F49-8A49-B28C6C04D4C8}" name="E U - NAVO" totalsRowLabel=" " dataDxfId="34" totalsRowDxfId="33">
      <calculatedColumnFormula>Top5Expenses5[[#This Row],[in miljarden]]*0.15</calculatedColumnFormula>
    </tableColumn>
  </tableColumns>
  <tableStyleInfo name="Summary" showFirstColumn="0" showLastColumn="0" showRowStripes="1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5:F16" totalsRowCount="1" totalsRowDxfId="32">
  <autoFilter ref="B5:F15" xr:uid="{00000000-0009-0000-0100-000003000000}"/>
  <tableColumns count="5">
    <tableColumn id="1" xr3:uid="{00000000-0010-0000-0200-000001000000}" name="Belasting Ontvangst" totalsRowLabel="Total Income" dataDxfId="31" totalsRowDxfId="30"/>
    <tableColumn id="2" xr3:uid="{00000000-0010-0000-0200-000002000000}" name="Begroot 2024" totalsRowFunction="sum" dataDxfId="29" totalsRowDxfId="28"/>
    <tableColumn id="3" xr3:uid="{00000000-0010-0000-0200-000003000000}" name="Begroot 2023" totalsRowFunction="sum" dataDxfId="27" totalsRowDxfId="26"/>
    <tableColumn id="5" xr3:uid="{00000000-0010-0000-0200-000005000000}" name="TOP 5 AMOUNT" dataDxfId="25" totalsRowDxfId="24">
      <calculatedColumnFormula>Income[[#This Row],[Begroot 2023]]+(10^-6)*ROW(Income[[#This Row],[Begroot 2023]])</calculatedColumnFormula>
    </tableColumn>
    <tableColumn id="4" xr3:uid="{00000000-0010-0000-0200-000004000000}" name="Verschil" totalsRowFunction="sum" dataDxfId="23" totalsRowDxfId="22">
      <calculatedColumnFormula>Income[[#This Row],[Begroot 2024]]-Income[[#This Row],[Begroot 2023]]</calculatedColumnFormula>
    </tableColumn>
  </tableColumns>
  <tableStyleInfo name="Incom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5:F24" totalsRowCount="1" totalsRowDxfId="21">
  <autoFilter ref="B5:F23" xr:uid="{00000000-0009-0000-0100-000007000000}"/>
  <tableColumns count="5">
    <tableColumn id="1" xr3:uid="{00000000-0010-0000-0300-000001000000}" name="Departementen Personeel" totalsRowLabel="Totaal Personeel" dataDxfId="20" totalsRowDxfId="19"/>
    <tableColumn id="2" xr3:uid="{00000000-0010-0000-0300-000002000000}" name="Begroot 2024" totalsRowFunction="sum" dataDxfId="18" totalsRowDxfId="17"/>
    <tableColumn id="3" xr3:uid="{00000000-0010-0000-0300-000003000000}" name="Begroot 2023" totalsRowFunction="sum" dataDxfId="16" totalsRowDxfId="15"/>
    <tableColumn id="4" xr3:uid="{00000000-0010-0000-0300-000004000000}" name="TOP 5 AMOUNT" totalsRowDxfId="14">
      <calculatedColumnFormula>PersonnelExpenses[[#This Row],[Begroot 2023]]+(10^-6)*ROW(PersonnelExpenses[[#This Row],[Begroot 2023]])</calculatedColumnFormula>
    </tableColumn>
    <tableColumn id="5" xr3:uid="{00000000-0010-0000-0300-000005000000}" name="Verschil" totalsRowFunction="sum" dataDxfId="13" totalsRowDxfId="12">
      <calculatedColumnFormula>PersonnelExpenses[[#This Row],[Begroot 2024]]-PersonnelExpenses[[#This Row],[Begroot 2023]]</calculatedColumnFormula>
    </tableColumn>
  </tableColumns>
  <tableStyleInfo name="Personal Expenses" showFirstColumn="0" showLastColumn="0" showRowStripes="1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5:F24" totalsRowCount="1" totalsRowDxfId="11">
  <autoFilter ref="B5:F23" xr:uid="{00000000-0009-0000-0100-000009000000}"/>
  <sortState xmlns:xlrd2="http://schemas.microsoft.com/office/spreadsheetml/2017/richdata2" ref="B13:F30">
    <sortCondition ref="B17:B35"/>
  </sortState>
  <tableColumns count="5">
    <tableColumn id="1" xr3:uid="{00000000-0010-0000-0400-000001000000}" name="Departementen Netto Uitgaven" totalsRowLabel="Totaal Netto Uitgaven" totalsRowDxfId="10"/>
    <tableColumn id="2" xr3:uid="{00000000-0010-0000-0400-000002000000}" name="Begroot 2024" totalsRowFunction="sum" totalsRowDxfId="9"/>
    <tableColumn id="3" xr3:uid="{00000000-0010-0000-0400-000003000000}" name="Begroot 2023" totalsRowFunction="sum" totalsRowDxfId="8"/>
    <tableColumn id="5" xr3:uid="{00000000-0010-0000-0400-000005000000}" name="TOP 5 AMOUNT" totalsRowDxfId="7">
      <calculatedColumnFormula>OperatingExpenses[[#This Row],[Begroot 2023]]+(10^-6)*ROW(OperatingExpenses[[#This Row],[Begroot 2023]])</calculatedColumnFormula>
    </tableColumn>
    <tableColumn id="4" xr3:uid="{00000000-0010-0000-0400-000004000000}" name="Verschil" totalsRowFunction="sum" totalsRowDxfId="6">
      <calculatedColumnFormula>OperatingExpenses[[#This Row],[Begroot 2024]]-OperatingExpenses[[#This Row],[Begroot 2023]]</calculatedColumnFormula>
    </tableColumn>
  </tableColumns>
  <tableStyleInfo name="Operating Expenses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Business monthly Budget">
      <a:dk1>
        <a:srgbClr val="000000"/>
      </a:dk1>
      <a:lt1>
        <a:srgbClr val="FFFFFF"/>
      </a:lt1>
      <a:dk2>
        <a:srgbClr val="57999A"/>
      </a:dk2>
      <a:lt2>
        <a:srgbClr val="E7E6E6"/>
      </a:lt2>
      <a:accent1>
        <a:srgbClr val="7DBAB2"/>
      </a:accent1>
      <a:accent2>
        <a:srgbClr val="A9D4BF"/>
      </a:accent2>
      <a:accent3>
        <a:srgbClr val="D4E6CF"/>
      </a:accent3>
      <a:accent4>
        <a:srgbClr val="468282"/>
      </a:accent4>
      <a:accent5>
        <a:srgbClr val="89CCC3"/>
      </a:accent5>
      <a:accent6>
        <a:srgbClr val="E0F5DB"/>
      </a:accent6>
      <a:hlink>
        <a:srgbClr val="0563C1"/>
      </a:hlink>
      <a:folHlink>
        <a:srgbClr val="954F72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  <pageSetUpPr autoPageBreaks="0" fitToPage="1"/>
  </sheetPr>
  <dimension ref="A1:U42"/>
  <sheetViews>
    <sheetView showGridLines="0" tabSelected="1" zoomScaleNormal="100" workbookViewId="0">
      <selection activeCell="H18" sqref="H18"/>
    </sheetView>
  </sheetViews>
  <sheetFormatPr defaultColWidth="9" defaultRowHeight="16.5" customHeight="1"/>
  <cols>
    <col min="1" max="1" width="4.125" customWidth="1"/>
    <col min="2" max="2" width="29.125" customWidth="1"/>
    <col min="3" max="5" width="19" customWidth="1"/>
    <col min="6" max="7" width="4.125" customWidth="1"/>
    <col min="8" max="8" width="15.5" bestFit="1" customWidth="1"/>
    <col min="19" max="19" width="6" customWidth="1"/>
    <col min="20" max="20" width="4.375" customWidth="1"/>
  </cols>
  <sheetData>
    <row r="1" spans="1:20" ht="37.9" customHeight="1">
      <c r="A1" s="13" t="s">
        <v>3</v>
      </c>
      <c r="B1" s="121" t="s">
        <v>5</v>
      </c>
      <c r="C1" s="121"/>
      <c r="D1" s="121"/>
      <c r="E1" s="29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64.900000000000006" customHeight="1">
      <c r="A2" s="13"/>
      <c r="B2" s="50" t="s">
        <v>6</v>
      </c>
      <c r="C2" s="49"/>
      <c r="D2" s="49"/>
      <c r="E2" s="31"/>
      <c r="F2" s="30"/>
      <c r="T2" s="1"/>
    </row>
    <row r="3" spans="1:20" ht="37.9" customHeight="1">
      <c r="A3" s="13"/>
      <c r="B3" s="47" t="s">
        <v>4</v>
      </c>
      <c r="C3" s="47"/>
      <c r="D3" s="47"/>
      <c r="E3" s="31"/>
      <c r="F3" s="30"/>
      <c r="T3" s="1"/>
    </row>
    <row r="4" spans="1:20" ht="15" customHeight="1">
      <c r="A4" s="1"/>
      <c r="T4" s="1"/>
    </row>
    <row r="5" spans="1:20" s="2" customFormat="1" ht="18" customHeight="1">
      <c r="A5" s="4"/>
      <c r="B5" s="51" t="s">
        <v>13</v>
      </c>
      <c r="C5" s="52" t="s">
        <v>10</v>
      </c>
      <c r="D5" s="11" t="s">
        <v>9</v>
      </c>
      <c r="E5" s="11" t="s">
        <v>11</v>
      </c>
      <c r="G5" s="76" t="s">
        <v>3</v>
      </c>
      <c r="H5" s="76" t="s">
        <v>3</v>
      </c>
      <c r="I5" s="76" t="s">
        <v>3</v>
      </c>
      <c r="J5" s="76" t="s">
        <v>3</v>
      </c>
      <c r="K5" s="76" t="s">
        <v>3</v>
      </c>
      <c r="L5" s="76" t="s">
        <v>3</v>
      </c>
      <c r="M5" s="76" t="s">
        <v>3</v>
      </c>
      <c r="N5" s="76" t="s">
        <v>3</v>
      </c>
      <c r="O5"/>
      <c r="P5"/>
      <c r="Q5"/>
      <c r="R5"/>
      <c r="S5"/>
      <c r="T5" s="1"/>
    </row>
    <row r="6" spans="1:20" ht="18" customHeight="1">
      <c r="A6" s="1"/>
      <c r="B6" s="10" t="s">
        <v>99</v>
      </c>
      <c r="C6" s="84">
        <f>Income[[#Totals],[Begroot 2024]]</f>
        <v>376.9</v>
      </c>
      <c r="D6" s="84">
        <f>Income[[#Totals],[Begroot 2023]]</f>
        <v>365.40800000000002</v>
      </c>
      <c r="E6" s="64">
        <f>IF('Monthly Budget Summary'!$B6="Income",'Monthly Budget Summary'!$D6-'Monthly Budget Summary'!$C6,'Monthly Budget Summary'!$C6-'Monthly Budget Summary'!$D6)</f>
        <v>11.491999999999962</v>
      </c>
      <c r="G6" s="60">
        <v>1</v>
      </c>
      <c r="H6" s="10" t="s">
        <v>55</v>
      </c>
      <c r="I6" s="62"/>
      <c r="J6" s="62"/>
      <c r="K6" s="62"/>
      <c r="L6" s="62"/>
      <c r="T6" s="1"/>
    </row>
    <row r="7" spans="1:20" ht="18" customHeight="1">
      <c r="A7" s="1"/>
      <c r="B7" s="10" t="s">
        <v>7</v>
      </c>
      <c r="C7" s="84">
        <f>PersonnelExpenses[[#Totals],[Begroot 2024]]</f>
        <v>29.8</v>
      </c>
      <c r="D7" s="84">
        <f>PersonnelExpenses[[#Totals],[Begroot 2023]]</f>
        <v>28.755000000000006</v>
      </c>
      <c r="E7" s="64">
        <f>IF('Monthly Budget Summary'!$B7="Income",'Monthly Budget Summary'!$D7-'Monthly Budget Summary'!$C7,'Monthly Budget Summary'!$C7-'Monthly Budget Summary'!$D7)</f>
        <v>1.0449999999999946</v>
      </c>
      <c r="G7" s="60">
        <v>2</v>
      </c>
      <c r="H7" s="10" t="s">
        <v>94</v>
      </c>
      <c r="I7" s="10"/>
      <c r="J7" s="10"/>
      <c r="K7" s="10"/>
      <c r="L7" s="10"/>
      <c r="T7" s="1"/>
    </row>
    <row r="8" spans="1:20" ht="18" customHeight="1">
      <c r="A8" s="1"/>
      <c r="B8" s="10" t="s">
        <v>8</v>
      </c>
      <c r="C8" s="84">
        <f>OperatingExpenses[[#Totals],[Begroot 2024]]</f>
        <v>343.70000000000005</v>
      </c>
      <c r="D8" s="84">
        <f>OperatingExpenses[[#Totals],[Begroot 2023]]</f>
        <v>361.00000000000006</v>
      </c>
      <c r="E8" s="64">
        <f>IF('Monthly Budget Summary'!$B8="Income",'Monthly Budget Summary'!$D8-'Monthly Budget Summary'!$C8,'Monthly Budget Summary'!$C8-'Monthly Budget Summary'!$D8)</f>
        <v>-17.300000000000011</v>
      </c>
      <c r="G8" s="60">
        <v>3</v>
      </c>
      <c r="H8" s="62" t="s">
        <v>93</v>
      </c>
      <c r="I8" s="62"/>
      <c r="J8" s="62"/>
      <c r="K8" s="62"/>
      <c r="L8" s="62"/>
      <c r="M8" s="62"/>
      <c r="N8" s="62"/>
      <c r="T8" s="1"/>
    </row>
    <row r="9" spans="1:20" ht="18" customHeight="1">
      <c r="A9" s="1"/>
      <c r="B9" s="57" t="s">
        <v>50</v>
      </c>
      <c r="C9" s="85">
        <f>C6-C7-C8</f>
        <v>3.3999999999999204</v>
      </c>
      <c r="D9" s="85">
        <f>D6-D7-D8</f>
        <v>-24.347000000000037</v>
      </c>
      <c r="E9" s="65"/>
      <c r="G9" s="60">
        <v>4</v>
      </c>
      <c r="H9" s="10" t="s">
        <v>47</v>
      </c>
      <c r="I9" s="10"/>
      <c r="J9" s="10"/>
      <c r="K9" s="10"/>
      <c r="L9" s="10"/>
      <c r="T9" s="1"/>
    </row>
    <row r="10" spans="1:20" ht="18" customHeight="1">
      <c r="A10" s="1"/>
      <c r="G10" s="61">
        <v>5</v>
      </c>
      <c r="H10" s="62" t="s">
        <v>46</v>
      </c>
      <c r="I10" s="62"/>
      <c r="J10" s="62"/>
      <c r="K10" s="62"/>
      <c r="L10" s="62"/>
      <c r="M10" s="62"/>
      <c r="N10" s="62"/>
      <c r="T10" s="1"/>
    </row>
    <row r="11" spans="1:20" ht="18" customHeight="1">
      <c r="A11" s="1"/>
      <c r="B11" s="12" t="s">
        <v>82</v>
      </c>
      <c r="C11" s="77" t="s">
        <v>48</v>
      </c>
      <c r="D11" s="11" t="s">
        <v>49</v>
      </c>
      <c r="E11" s="77" t="s">
        <v>89</v>
      </c>
      <c r="G11" s="61" t="s">
        <v>3</v>
      </c>
      <c r="H11" s="10" t="s">
        <v>3</v>
      </c>
      <c r="I11" s="10"/>
      <c r="J11" s="10"/>
      <c r="K11" s="10"/>
      <c r="L11" s="10"/>
      <c r="T11" s="1"/>
    </row>
    <row r="12" spans="1:20" ht="18" customHeight="1">
      <c r="A12" s="1"/>
      <c r="B12" s="21" t="s">
        <v>90</v>
      </c>
      <c r="C12" s="78">
        <v>18000000</v>
      </c>
      <c r="D12" s="23">
        <v>0.04</v>
      </c>
      <c r="E12" s="22" t="s">
        <v>3</v>
      </c>
      <c r="G12" s="60">
        <v>6</v>
      </c>
      <c r="H12" s="62" t="s">
        <v>24</v>
      </c>
      <c r="I12" s="62"/>
      <c r="J12" s="62"/>
      <c r="K12" s="62"/>
      <c r="L12" s="62"/>
      <c r="M12" s="62"/>
      <c r="N12" s="62"/>
      <c r="T12" s="1"/>
    </row>
    <row r="13" spans="1:20" ht="18" customHeight="1">
      <c r="A13" s="1"/>
      <c r="B13" s="21" t="s">
        <v>81</v>
      </c>
      <c r="C13" s="78">
        <f>C12</f>
        <v>18000000</v>
      </c>
      <c r="D13" s="23">
        <v>0.01</v>
      </c>
      <c r="E13" s="86">
        <v>6</v>
      </c>
      <c r="G13" s="60">
        <v>7</v>
      </c>
      <c r="H13" s="10" t="s">
        <v>110</v>
      </c>
      <c r="I13" s="10"/>
      <c r="J13" s="10"/>
      <c r="K13" s="10"/>
      <c r="L13" s="10"/>
      <c r="T13" s="1"/>
    </row>
    <row r="14" spans="1:20" ht="18" customHeight="1">
      <c r="A14" s="1"/>
      <c r="B14" s="72" t="s">
        <v>51</v>
      </c>
      <c r="C14" s="78">
        <v>326453</v>
      </c>
      <c r="D14" s="23" t="s">
        <v>3</v>
      </c>
      <c r="E14" s="86">
        <v>2</v>
      </c>
      <c r="G14" s="60">
        <v>8</v>
      </c>
      <c r="H14" s="62" t="s">
        <v>96</v>
      </c>
      <c r="I14" s="62"/>
      <c r="J14" s="62"/>
      <c r="K14" s="62"/>
      <c r="L14" s="62"/>
      <c r="M14" s="62"/>
      <c r="N14" s="62"/>
      <c r="T14" s="1"/>
    </row>
    <row r="15" spans="1:20" ht="18" customHeight="1">
      <c r="A15" s="1"/>
      <c r="B15" s="21" t="s">
        <v>109</v>
      </c>
      <c r="C15" s="90">
        <v>18000000</v>
      </c>
      <c r="D15" s="23">
        <v>8.7999999999999995E-2</v>
      </c>
      <c r="E15" s="86" t="s">
        <v>3</v>
      </c>
      <c r="G15" s="60">
        <v>9</v>
      </c>
      <c r="H15" s="10" t="s">
        <v>97</v>
      </c>
      <c r="I15" s="10"/>
      <c r="J15" s="10"/>
      <c r="K15" s="10"/>
      <c r="L15" s="10"/>
      <c r="T15" s="1"/>
    </row>
    <row r="16" spans="1:20" ht="18" customHeight="1">
      <c r="A16" s="1"/>
      <c r="B16" s="21" t="s">
        <v>78</v>
      </c>
      <c r="C16" s="90">
        <v>18000000</v>
      </c>
      <c r="D16" s="23">
        <v>0.06</v>
      </c>
      <c r="E16" s="87" t="s">
        <v>3</v>
      </c>
      <c r="G16" s="61">
        <v>10</v>
      </c>
      <c r="H16" s="62" t="s">
        <v>95</v>
      </c>
      <c r="I16" s="62"/>
      <c r="J16" s="62"/>
      <c r="K16" s="62"/>
      <c r="L16" s="62"/>
      <c r="M16" s="62"/>
      <c r="N16" s="62"/>
      <c r="T16" s="1"/>
    </row>
    <row r="17" spans="1:21" ht="18" customHeight="1">
      <c r="A17" s="1"/>
      <c r="B17" s="53" t="s">
        <v>77</v>
      </c>
      <c r="C17" s="79" t="s">
        <v>3</v>
      </c>
      <c r="D17" s="54">
        <f>SUBTOTAL(109,Top5Expenses[% Verbetering])</f>
        <v>0.19800000000000001</v>
      </c>
      <c r="E17" s="88">
        <f>SUBTOTAL(109,Top5Expenses[Kost Miljard Euros])</f>
        <v>8</v>
      </c>
      <c r="G17" s="61" t="s">
        <v>3</v>
      </c>
      <c r="H17" s="10" t="s">
        <v>3</v>
      </c>
      <c r="I17" s="10"/>
      <c r="J17" s="10"/>
      <c r="K17" s="10"/>
      <c r="L17" s="10"/>
    </row>
    <row r="18" spans="1:21" ht="18" customHeight="1">
      <c r="Q18" s="8"/>
      <c r="R18" s="8"/>
    </row>
    <row r="19" spans="1:21" ht="18" customHeight="1">
      <c r="B19" s="12" t="s">
        <v>88</v>
      </c>
      <c r="C19" s="77" t="s">
        <v>84</v>
      </c>
      <c r="D19" s="11" t="s">
        <v>91</v>
      </c>
      <c r="E19" s="11" t="s">
        <v>92</v>
      </c>
      <c r="Q19" s="8"/>
      <c r="R19" s="8"/>
    </row>
    <row r="20" spans="1:21" ht="18" customHeight="1">
      <c r="B20" s="21" t="s">
        <v>83</v>
      </c>
      <c r="C20" s="86">
        <v>1020</v>
      </c>
      <c r="D20" s="23" t="s">
        <v>3</v>
      </c>
      <c r="E20" s="22" t="s">
        <v>3</v>
      </c>
      <c r="Q20" s="8"/>
      <c r="R20" s="8"/>
    </row>
    <row r="21" spans="1:21" ht="18" customHeight="1">
      <c r="B21" s="21" t="s">
        <v>86</v>
      </c>
      <c r="C21" s="86">
        <f>Table2[[#Totals],[Begroot 2024]]</f>
        <v>3.3999999999999204</v>
      </c>
      <c r="D21" s="23">
        <f>Top5Expenses5[[#This Row],[in miljarden]]/C20</f>
        <v>3.3333333333332555E-3</v>
      </c>
      <c r="E21" s="70" t="s">
        <v>3</v>
      </c>
      <c r="Q21" s="8"/>
      <c r="R21" s="8"/>
    </row>
    <row r="22" spans="1:21" ht="18" customHeight="1">
      <c r="B22" s="72" t="s">
        <v>87</v>
      </c>
      <c r="C22" s="86">
        <f>'Personnel Expenses'!C12+'Operating Expenses'!C12</f>
        <v>20.2</v>
      </c>
      <c r="D22" s="23">
        <f>Top5Expenses5[[#This Row],[in miljarden]]/C20</f>
        <v>1.9803921568627449E-2</v>
      </c>
      <c r="E22" s="75">
        <v>0.02</v>
      </c>
      <c r="Q22" s="8"/>
      <c r="R22" s="8"/>
    </row>
    <row r="23" spans="1:21" ht="18" customHeight="1">
      <c r="B23" s="21" t="s">
        <v>85</v>
      </c>
      <c r="C23" s="86">
        <f>Top5Expenses5[[#This Row],[%BBP]]*C20</f>
        <v>510</v>
      </c>
      <c r="D23" s="23">
        <v>0.5</v>
      </c>
      <c r="E23" s="75">
        <v>0.6</v>
      </c>
      <c r="Q23" s="8"/>
      <c r="R23" s="8"/>
    </row>
    <row r="24" spans="1:21" ht="18" customHeight="1">
      <c r="B24" s="21" t="s">
        <v>3</v>
      </c>
      <c r="C24" s="22" t="s">
        <v>3</v>
      </c>
      <c r="D24" s="23" t="s">
        <v>3</v>
      </c>
      <c r="E24" s="70" t="s">
        <v>3</v>
      </c>
      <c r="Q24" s="8"/>
      <c r="R24" s="8"/>
    </row>
    <row r="25" spans="1:21" ht="18" customHeight="1">
      <c r="B25" s="53" t="s">
        <v>3</v>
      </c>
      <c r="C25" s="24" t="s">
        <v>3</v>
      </c>
      <c r="D25" s="54" t="s">
        <v>3</v>
      </c>
      <c r="E25" s="71" t="s">
        <v>3</v>
      </c>
      <c r="Q25" s="8"/>
      <c r="R25" s="8"/>
    </row>
    <row r="26" spans="1:21" ht="18" customHeight="1">
      <c r="Q26" s="8"/>
      <c r="R26" s="8"/>
      <c r="S26" s="9"/>
      <c r="T26" s="9"/>
      <c r="U26" s="9"/>
    </row>
    <row r="27" spans="1:21" ht="16.5" customHeight="1">
      <c r="Q27" s="8"/>
      <c r="R27" s="8"/>
    </row>
    <row r="28" spans="1:21" ht="16.5" customHeight="1">
      <c r="Q28" s="8"/>
      <c r="R28" s="8"/>
    </row>
    <row r="29" spans="1:21" ht="16.5" customHeight="1">
      <c r="Q29" s="8"/>
      <c r="R29" s="8"/>
    </row>
    <row r="30" spans="1:21" ht="16.5" customHeight="1">
      <c r="Q30" s="8"/>
      <c r="R30" s="8"/>
    </row>
    <row r="31" spans="1:21" ht="16.5" customHeight="1">
      <c r="Q31" s="8"/>
      <c r="R31" s="8"/>
    </row>
    <row r="32" spans="1:21" ht="16.5" customHeight="1">
      <c r="Q32" s="8"/>
      <c r="R32" s="8"/>
    </row>
    <row r="33" spans="17:18" ht="16.5" customHeight="1">
      <c r="Q33" s="8"/>
      <c r="R33" s="8"/>
    </row>
    <row r="34" spans="17:18" ht="16.5" customHeight="1">
      <c r="Q34" s="8"/>
      <c r="R34" s="8"/>
    </row>
    <row r="35" spans="17:18" ht="16.5" customHeight="1">
      <c r="Q35" s="8"/>
      <c r="R35" s="8"/>
    </row>
    <row r="36" spans="17:18" ht="16.5" customHeight="1">
      <c r="Q36" s="8"/>
      <c r="R36" s="8"/>
    </row>
    <row r="37" spans="17:18" ht="16.5" customHeight="1">
      <c r="Q37" s="8"/>
      <c r="R37" s="8"/>
    </row>
    <row r="38" spans="17:18" ht="16.5" customHeight="1">
      <c r="Q38" s="8"/>
      <c r="R38" s="8"/>
    </row>
    <row r="39" spans="17:18" ht="16.5" customHeight="1">
      <c r="Q39" s="8"/>
      <c r="R39" s="8"/>
    </row>
    <row r="40" spans="17:18" ht="16.5" customHeight="1">
      <c r="Q40" s="8"/>
      <c r="R40" s="8"/>
    </row>
    <row r="41" spans="17:18" ht="16.5" customHeight="1">
      <c r="Q41" s="8"/>
      <c r="R41" s="8"/>
    </row>
    <row r="42" spans="17:18" ht="16.5" customHeight="1">
      <c r="Q42" s="8"/>
      <c r="R42" s="8"/>
    </row>
  </sheetData>
  <sheetProtection insertColumns="0" insertRows="0" deleteColumns="0" deleteRows="0" selectLockedCells="1" autoFilter="0"/>
  <mergeCells count="1">
    <mergeCell ref="B1:D1"/>
  </mergeCells>
  <conditionalFormatting sqref="C6:E8">
    <cfRule type="cellIs" dxfId="5" priority="5" operator="lessThan">
      <formula>0</formula>
    </cfRule>
  </conditionalFormatting>
  <conditionalFormatting sqref="C10:E16 C18:E24 C26:E65">
    <cfRule type="cellIs" dxfId="4" priority="8" operator="lessThan">
      <formula>0</formula>
    </cfRule>
  </conditionalFormatting>
  <conditionalFormatting sqref="D12:E16">
    <cfRule type="cellIs" dxfId="3" priority="7" operator="lessThan">
      <formula>0</formula>
    </cfRule>
  </conditionalFormatting>
  <conditionalFormatting sqref="D20:E24">
    <cfRule type="cellIs" dxfId="2" priority="1" operator="lessThan">
      <formula>0</formula>
    </cfRule>
  </conditionalFormatting>
  <conditionalFormatting sqref="I18:K42 O18:Q42">
    <cfRule type="cellIs" dxfId="1" priority="6" operator="lessThan">
      <formula>0</formula>
    </cfRule>
  </conditionalFormatting>
  <dataValidations count="13">
    <dataValidation allowBlank="1" showInputMessage="1" showErrorMessage="1" promptTitle="Monthly Business Budget" prompt="This worksheet is the overview. Enter Monthly Income, Personnel, and Operating Expenses in respective worksheets" sqref="A1" xr:uid="{00000000-0002-0000-0000-000000000000}"/>
    <dataValidation allowBlank="1" showInputMessage="1" showErrorMessage="1" prompt="Enter Company Name in this cell" sqref="M24 B1" xr:uid="{00000000-0002-0000-0000-000001000000}"/>
    <dataValidation allowBlank="1" showInputMessage="1" showErrorMessage="1" prompt="Enter Date in this cell. Budget overview chart is in cell B9" sqref="P25:Q25" xr:uid="{00000000-0002-0000-0000-000002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5 G5:N5" xr:uid="{00000000-0002-0000-0000-000003000000}"/>
    <dataValidation allowBlank="1" showInputMessage="1" showErrorMessage="1" prompt="Estimated totals are automatically calculated in this column under this heading" sqref="C5" xr:uid="{00000000-0002-0000-0000-000004000000}"/>
    <dataValidation allowBlank="1" showInputMessage="1" showErrorMessage="1" prompt="Actual totals are automatically calculated in this column under this heading" sqref="D5" xr:uid="{00000000-0002-0000-0000-000005000000}"/>
    <dataValidation allowBlank="1" showInputMessage="1" showErrorMessage="1" prompt="Difference of Estimated and Actual totals is automatically calculated in this column under this heading" sqref="E5" xr:uid="{00000000-0002-0000-0000-000006000000}"/>
    <dataValidation allowBlank="1" showInputMessage="1" showErrorMessage="1" prompt="Top 5 Expense items are automatically updated in this column under this heading" sqref="B11 B19" xr:uid="{00000000-0002-0000-0000-000008000000}"/>
    <dataValidation allowBlank="1" showInputMessage="1" showErrorMessage="1" prompt="Amount is automatically updated in this column under this heading" sqref="C11 C19" xr:uid="{00000000-0002-0000-0000-000009000000}"/>
    <dataValidation allowBlank="1" showInputMessage="1" showErrorMessage="1" prompt="Percent of Expenses is automatically calculated in this column under this heading" sqref="D11 D19" xr:uid="{00000000-0002-0000-0000-00000A000000}"/>
    <dataValidation allowBlank="1" showInputMessage="1" showErrorMessage="1" prompt="15 percent Reduction amount is automatically calculated in this column under this heading" sqref="E11 E19" xr:uid="{00000000-0002-0000-0000-00000B000000}"/>
    <dataValidation allowBlank="1" showInputMessage="1" showErrorMessage="1" prompt="Title of this worksheet is in this cell. Enter Date in cell at right. Budget Totals are automatically calculated in Totals table starting in cell B4" sqref="M25:O28 P26:U26" xr:uid="{00000000-0002-0000-0000-00000C000000}"/>
    <dataValidation allowBlank="1" showInputMessage="1" showErrorMessage="1" prompt="Title of this worksheet is in this cell. Enter Date in cell P1. Budget Totals are automatically calculated in Totals table starting in cell B5." sqref="B2" xr:uid="{32A5C1DC-58EC-4C43-837E-3188A427082A}"/>
  </dataValidations>
  <printOptions horizontalCentered="1"/>
  <pageMargins left="1" right="1" top="1" bottom="1" header="0.5" footer="0.5"/>
  <pageSetup paperSize="9" scale="58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T131"/>
  <sheetViews>
    <sheetView showGridLines="0" zoomScaleNormal="100" workbookViewId="0">
      <selection activeCell="F1" sqref="F1"/>
    </sheetView>
  </sheetViews>
  <sheetFormatPr defaultColWidth="9" defaultRowHeight="30" customHeight="1"/>
  <cols>
    <col min="1" max="1" width="4.125" customWidth="1"/>
    <col min="2" max="2" width="29.125" customWidth="1"/>
    <col min="3" max="3" width="19" customWidth="1"/>
    <col min="4" max="4" width="18.75" customWidth="1"/>
    <col min="5" max="5" width="26" hidden="1" customWidth="1"/>
    <col min="6" max="6" width="19" customWidth="1"/>
    <col min="7" max="7" width="5.5" bestFit="1" customWidth="1"/>
    <col min="8" max="8" width="7.875" bestFit="1" customWidth="1"/>
    <col min="9" max="9" width="9.875" bestFit="1" customWidth="1"/>
    <col min="10" max="10" width="33.875" bestFit="1" customWidth="1"/>
  </cols>
  <sheetData>
    <row r="1" spans="1:20" ht="37.9" customHeight="1">
      <c r="A1" s="13"/>
      <c r="B1" s="124" t="str">
        <f>COMPANY_NAME</f>
        <v>DE NEDERLANDSE STAAT</v>
      </c>
      <c r="C1" s="124"/>
      <c r="D1" s="124"/>
      <c r="E1" s="38" t="s">
        <v>2</v>
      </c>
      <c r="F1" s="56"/>
      <c r="G1" s="16"/>
      <c r="H1" s="5"/>
      <c r="I1" s="6"/>
      <c r="J1" s="2"/>
      <c r="K1" s="2"/>
      <c r="L1" s="2"/>
      <c r="M1" s="2"/>
    </row>
    <row r="2" spans="1:20" ht="64.900000000000006" customHeight="1">
      <c r="A2" s="13"/>
      <c r="B2" s="125" t="s">
        <v>6</v>
      </c>
      <c r="C2" s="125"/>
      <c r="D2" s="125"/>
      <c r="E2" s="39"/>
      <c r="F2" s="40"/>
      <c r="G2" s="18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37.9" customHeight="1">
      <c r="A3" s="13"/>
      <c r="B3" s="126" t="s">
        <v>4</v>
      </c>
      <c r="C3" s="126"/>
      <c r="D3" s="126"/>
      <c r="E3" s="41"/>
      <c r="F3" s="42"/>
      <c r="G3" s="32"/>
      <c r="H3" s="32"/>
      <c r="I3" s="32"/>
      <c r="J3" s="32"/>
      <c r="K3" s="32"/>
      <c r="L3" s="32"/>
      <c r="M3" s="32"/>
      <c r="N3" s="32"/>
      <c r="O3" s="32"/>
      <c r="P3" s="122"/>
      <c r="Q3" s="123"/>
      <c r="R3" s="123"/>
      <c r="S3" s="32"/>
      <c r="T3" s="1"/>
    </row>
    <row r="4" spans="1:20" ht="15" customHeight="1">
      <c r="A4" s="1"/>
      <c r="B4" s="1"/>
      <c r="C4" s="1"/>
      <c r="D4" s="1"/>
      <c r="E4" s="1"/>
      <c r="F4" s="1"/>
      <c r="G4" s="14"/>
      <c r="H4" s="5"/>
      <c r="I4" s="5"/>
    </row>
    <row r="5" spans="1:20" s="2" customFormat="1" ht="36" customHeight="1">
      <c r="A5" s="4"/>
      <c r="B5" s="51" t="s">
        <v>21</v>
      </c>
      <c r="C5" s="52" t="s">
        <v>10</v>
      </c>
      <c r="D5" s="11" t="s">
        <v>9</v>
      </c>
      <c r="E5" s="11" t="s">
        <v>0</v>
      </c>
      <c r="F5" s="11" t="s">
        <v>11</v>
      </c>
      <c r="G5" s="14"/>
      <c r="H5" s="5"/>
      <c r="I5" s="59" t="s">
        <v>3</v>
      </c>
      <c r="J5" s="58" t="s">
        <v>22</v>
      </c>
      <c r="K5" s="59" t="s">
        <v>3</v>
      </c>
      <c r="L5" s="59" t="s">
        <v>3</v>
      </c>
      <c r="M5" s="59"/>
      <c r="N5" s="59" t="s">
        <v>3</v>
      </c>
      <c r="O5"/>
      <c r="P5"/>
      <c r="Q5"/>
      <c r="R5"/>
      <c r="S5"/>
    </row>
    <row r="6" spans="1:20" ht="30" customHeight="1">
      <c r="A6" s="1"/>
      <c r="B6" s="10" t="s">
        <v>14</v>
      </c>
      <c r="C6">
        <v>75</v>
      </c>
      <c r="D6" s="3">
        <v>74.8</v>
      </c>
      <c r="E6">
        <f>Income[[#This Row],[Begroot 2023]]+(10^-6)*ROW(Income[[#This Row],[Begroot 2023]])</f>
        <v>74.800005999999996</v>
      </c>
      <c r="F6">
        <f>Income[[#This Row],[Begroot 2024]]-Income[[#This Row],[Begroot 2023]]</f>
        <v>0.20000000000000284</v>
      </c>
      <c r="G6" s="14"/>
      <c r="H6" s="5"/>
      <c r="I6" s="60">
        <v>1</v>
      </c>
      <c r="J6" s="62" t="s">
        <v>24</v>
      </c>
      <c r="K6" s="62"/>
      <c r="L6" s="62"/>
      <c r="M6" s="62"/>
      <c r="N6" s="62"/>
    </row>
    <row r="7" spans="1:20" ht="30" customHeight="1">
      <c r="A7" s="1"/>
      <c r="B7" s="10" t="s">
        <v>17</v>
      </c>
      <c r="C7">
        <v>100</v>
      </c>
      <c r="D7">
        <v>97.575999999999993</v>
      </c>
      <c r="E7">
        <f>Income[[#This Row],[Begroot 2023]]+(10^-6)*ROW(Income[[#This Row],[Begroot 2023]])</f>
        <v>97.57600699999999</v>
      </c>
      <c r="F7">
        <f>Income[[#This Row],[Begroot 2024]]-Income[[#This Row],[Begroot 2023]]</f>
        <v>2.4240000000000066</v>
      </c>
      <c r="G7" s="15"/>
      <c r="H7" s="5"/>
      <c r="I7" s="60">
        <v>2</v>
      </c>
      <c r="J7" s="10" t="s">
        <v>103</v>
      </c>
      <c r="K7" s="10"/>
      <c r="L7" s="10"/>
      <c r="M7" s="10"/>
      <c r="N7" s="10"/>
    </row>
    <row r="8" spans="1:20" ht="30" customHeight="1">
      <c r="A8" s="1"/>
      <c r="B8" s="10" t="s">
        <v>16</v>
      </c>
      <c r="C8">
        <v>80</v>
      </c>
      <c r="D8" s="3">
        <v>58.716000000000001</v>
      </c>
      <c r="E8">
        <f>Income[[#This Row],[Begroot 2023]]+(10^-6)*ROW(Income[[#This Row],[Begroot 2023]])</f>
        <v>58.716008000000002</v>
      </c>
      <c r="F8">
        <f>Income[[#This Row],[Begroot 2024]]-Income[[#This Row],[Begroot 2023]]</f>
        <v>21.283999999999999</v>
      </c>
      <c r="G8" s="1"/>
      <c r="H8" s="5"/>
      <c r="I8" s="60">
        <v>3</v>
      </c>
      <c r="J8" s="62" t="s">
        <v>46</v>
      </c>
      <c r="K8" s="62"/>
      <c r="L8" s="62"/>
      <c r="M8" s="62"/>
      <c r="N8" s="62"/>
    </row>
    <row r="9" spans="1:20" ht="30" customHeight="1">
      <c r="A9" s="1"/>
      <c r="B9" s="10" t="s">
        <v>19</v>
      </c>
      <c r="C9">
        <v>4</v>
      </c>
      <c r="D9">
        <v>4.984</v>
      </c>
      <c r="E9">
        <f>Income[[#This Row],[Begroot 2023]]+(10^-6)*ROW(Income[[#This Row],[Begroot 2023]])</f>
        <v>4.9840090000000004</v>
      </c>
      <c r="F9">
        <f>Income[[#This Row],[Begroot 2024]]-Income[[#This Row],[Begroot 2023]]</f>
        <v>-0.98399999999999999</v>
      </c>
      <c r="G9" s="1"/>
      <c r="H9" s="5"/>
      <c r="I9" s="60">
        <v>4</v>
      </c>
      <c r="J9" s="10" t="s">
        <v>47</v>
      </c>
      <c r="K9" s="10"/>
      <c r="L9" s="10"/>
      <c r="M9" s="10"/>
      <c r="N9" s="10"/>
    </row>
    <row r="10" spans="1:20" ht="30" customHeight="1">
      <c r="B10" s="10" t="s">
        <v>18</v>
      </c>
      <c r="C10">
        <v>10</v>
      </c>
      <c r="D10" s="3">
        <v>8.2080000000000002</v>
      </c>
      <c r="E10">
        <f>Income[[#This Row],[Begroot 2023]]+(10^-6)*ROW(Income[[#This Row],[Begroot 2023]])</f>
        <v>8.2080099999999998</v>
      </c>
      <c r="F10">
        <f>Income[[#This Row],[Begroot 2024]]-Income[[#This Row],[Begroot 2023]]</f>
        <v>1.7919999999999998</v>
      </c>
      <c r="H10" s="7"/>
      <c r="I10" s="61">
        <v>5</v>
      </c>
      <c r="J10" s="62" t="s">
        <v>54</v>
      </c>
      <c r="K10" s="62"/>
      <c r="L10" s="62"/>
      <c r="M10" s="62"/>
      <c r="N10" s="62"/>
    </row>
    <row r="11" spans="1:20" ht="30" customHeight="1">
      <c r="B11" s="10" t="s">
        <v>20</v>
      </c>
      <c r="C11">
        <v>0</v>
      </c>
      <c r="D11">
        <v>5.9080000000000004</v>
      </c>
      <c r="E11">
        <f>Income[[#This Row],[Begroot 2023]]+(10^-6)*ROW(Income[[#This Row],[Begroot 2023]])</f>
        <v>5.9080110000000001</v>
      </c>
      <c r="F11">
        <f>Income[[#This Row],[Begroot 2024]]-Income[[#This Row],[Begroot 2023]]</f>
        <v>-5.9080000000000004</v>
      </c>
      <c r="H11" s="7"/>
      <c r="I11" s="61">
        <v>6</v>
      </c>
      <c r="J11" s="10" t="s">
        <v>23</v>
      </c>
      <c r="K11" s="10"/>
      <c r="L11" s="10"/>
      <c r="M11" s="10"/>
      <c r="N11" s="10"/>
    </row>
    <row r="12" spans="1:20" ht="30" customHeight="1">
      <c r="B12" s="10" t="s">
        <v>15</v>
      </c>
      <c r="C12">
        <v>14</v>
      </c>
      <c r="D12" s="3">
        <v>13.616</v>
      </c>
      <c r="E12">
        <f>Income[[#This Row],[Begroot 2023]]+(10^-6)*ROW(Income[[#This Row],[Begroot 2023]])</f>
        <v>13.616012</v>
      </c>
      <c r="F12">
        <f>Income[[#This Row],[Begroot 2024]]-Income[[#This Row],[Begroot 2023]]</f>
        <v>0.38400000000000034</v>
      </c>
      <c r="H12" s="7"/>
      <c r="I12" s="61">
        <v>7</v>
      </c>
      <c r="J12" s="62" t="s">
        <v>3</v>
      </c>
      <c r="K12" s="62"/>
      <c r="L12" s="62"/>
      <c r="M12" s="62"/>
      <c r="N12" s="62"/>
    </row>
    <row r="13" spans="1:20" ht="30" customHeight="1">
      <c r="B13" s="10" t="s">
        <v>73</v>
      </c>
      <c r="C13">
        <v>47</v>
      </c>
      <c r="D13">
        <v>46</v>
      </c>
      <c r="E13">
        <f>Income[[#This Row],[Begroot 2023]]+(10^-6)*ROW(Income[[#This Row],[Begroot 2023]])</f>
        <v>46.000013000000003</v>
      </c>
      <c r="F13">
        <f>Income[[#This Row],[Begroot 2024]]-Income[[#This Row],[Begroot 2023]]</f>
        <v>1</v>
      </c>
      <c r="H13" s="7"/>
      <c r="I13" s="61">
        <v>8</v>
      </c>
      <c r="J13" s="10" t="s">
        <v>104</v>
      </c>
      <c r="K13" s="10"/>
      <c r="L13" s="10"/>
      <c r="M13" s="10"/>
      <c r="N13" s="10"/>
    </row>
    <row r="14" spans="1:20" ht="30" customHeight="1">
      <c r="B14" s="10" t="s">
        <v>74</v>
      </c>
      <c r="C14">
        <v>23.9</v>
      </c>
      <c r="D14" s="3">
        <v>31.1</v>
      </c>
      <c r="E14">
        <f>Income[[#This Row],[Begroot 2023]]+(10^-6)*ROW(Income[[#This Row],[Begroot 2023]])</f>
        <v>31.100014000000002</v>
      </c>
      <c r="F14">
        <f>Income[[#This Row],[Begroot 2024]]-Income[[#This Row],[Begroot 2023]]</f>
        <v>-7.2000000000000028</v>
      </c>
      <c r="H14" s="7"/>
      <c r="I14" s="61">
        <v>9</v>
      </c>
      <c r="J14" s="62" t="s">
        <v>75</v>
      </c>
      <c r="K14" s="62"/>
      <c r="L14" s="62"/>
      <c r="M14" s="62"/>
      <c r="N14" s="62"/>
    </row>
    <row r="15" spans="1:20" ht="30" customHeight="1">
      <c r="B15" s="10" t="s">
        <v>40</v>
      </c>
      <c r="C15">
        <f>24.5-1.5</f>
        <v>23</v>
      </c>
      <c r="D15">
        <v>24.5</v>
      </c>
      <c r="E15">
        <f>Income[[#This Row],[Begroot 2023]]+(10^-6)*ROW(Income[[#This Row],[Begroot 2023]])</f>
        <v>24.500015000000001</v>
      </c>
      <c r="F15">
        <f>Income[[#This Row],[Begroot 2024]]-Income[[#This Row],[Begroot 2023]]</f>
        <v>-1.5</v>
      </c>
      <c r="H15" s="7"/>
      <c r="I15" s="61">
        <v>10</v>
      </c>
      <c r="J15" s="10" t="s">
        <v>76</v>
      </c>
      <c r="K15" s="10"/>
      <c r="L15" s="10"/>
      <c r="M15" s="10"/>
      <c r="N15" s="10"/>
    </row>
    <row r="16" spans="1:20" ht="30" customHeight="1">
      <c r="B16" s="57" t="s">
        <v>1</v>
      </c>
      <c r="C16" s="45">
        <f>SUBTOTAL(109,Income[Begroot 2024])</f>
        <v>376.9</v>
      </c>
      <c r="D16" s="45">
        <f>SUBTOTAL(109,Income[Begroot 2023])</f>
        <v>365.40800000000002</v>
      </c>
      <c r="E16" s="45"/>
      <c r="F16" s="45">
        <f>SUBTOTAL(109,Income[Verschil])</f>
        <v>11.492000000000004</v>
      </c>
      <c r="H16" s="7"/>
      <c r="I16" s="61" t="s">
        <v>3</v>
      </c>
      <c r="J16" s="62" t="s">
        <v>3</v>
      </c>
      <c r="K16" s="62"/>
      <c r="L16" s="62"/>
      <c r="M16" s="62"/>
      <c r="N16" s="62"/>
    </row>
    <row r="17" spans="2:10" ht="30" customHeight="1">
      <c r="C17" s="63" t="s">
        <v>3</v>
      </c>
      <c r="H17" s="7"/>
      <c r="I17" s="7"/>
      <c r="J17" t="s">
        <v>3</v>
      </c>
    </row>
    <row r="18" spans="2:10" ht="30" customHeight="1">
      <c r="B18" s="58" t="s">
        <v>100</v>
      </c>
      <c r="C18" s="59" t="s">
        <v>107</v>
      </c>
      <c r="D18" s="59" t="s">
        <v>108</v>
      </c>
      <c r="E18" s="59" t="s">
        <v>0</v>
      </c>
      <c r="F18" s="59" t="s">
        <v>11</v>
      </c>
      <c r="H18" s="83">
        <v>2024</v>
      </c>
      <c r="I18" s="83">
        <v>2023</v>
      </c>
    </row>
    <row r="19" spans="2:10" ht="30" customHeight="1">
      <c r="B19" s="62" t="s">
        <v>101</v>
      </c>
      <c r="C19" s="3">
        <v>10000</v>
      </c>
      <c r="D19" s="3">
        <v>10160</v>
      </c>
      <c r="E19" s="3" t="e">
        <f>Income[[#This Row],[Begroot 2023]]+(10^-6)*ROW(Income[[#This Row],[Begroot 2023]])</f>
        <v>#VALUE!</v>
      </c>
      <c r="F19" s="3">
        <v>0</v>
      </c>
      <c r="H19" s="81">
        <v>0</v>
      </c>
      <c r="I19" s="81">
        <v>0</v>
      </c>
    </row>
    <row r="20" spans="2:10" ht="30" customHeight="1">
      <c r="B20" s="10" t="s">
        <v>102</v>
      </c>
      <c r="C20">
        <v>35000</v>
      </c>
      <c r="D20">
        <v>35000</v>
      </c>
      <c r="E20" t="e">
        <f>Income[[#This Row],[Begroot 2023]]+(10^-6)*ROW(Income[[#This Row],[Begroot 2023]])</f>
        <v>#VALUE!</v>
      </c>
      <c r="F20">
        <f>((D20-D19)*I20)-((C20-C19)*H20)</f>
        <v>4173.4120000000003</v>
      </c>
      <c r="G20" s="89">
        <f>F20/C20</f>
        <v>0.11924034285714287</v>
      </c>
      <c r="H20" s="81">
        <v>0.2</v>
      </c>
      <c r="I20" s="81">
        <v>0.36930000000000002</v>
      </c>
      <c r="J20" s="80" t="s">
        <v>3</v>
      </c>
    </row>
    <row r="21" spans="2:10" ht="30" customHeight="1">
      <c r="B21" s="10" t="s">
        <v>105</v>
      </c>
      <c r="C21" s="3">
        <v>60000</v>
      </c>
      <c r="D21" s="3">
        <v>60000</v>
      </c>
      <c r="E21" s="3" t="e">
        <f>Income[[#This Row],[Begroot 2023]]+(10^-6)*ROW(Income[[#This Row],[Begroot 2023]])</f>
        <v>#VALUE!</v>
      </c>
      <c r="F21" s="3">
        <f>((D21-D20)*I21)-((C21-C20)*H21)+4173.41</f>
        <v>3405.91</v>
      </c>
      <c r="G21" s="89">
        <f>F21/C21</f>
        <v>5.6765166666666665E-2</v>
      </c>
      <c r="H21" s="81">
        <v>0.4</v>
      </c>
      <c r="I21" s="81">
        <v>0.36930000000000002</v>
      </c>
    </row>
    <row r="22" spans="2:10" ht="30" customHeight="1">
      <c r="B22" s="10" t="s">
        <v>106</v>
      </c>
      <c r="C22">
        <v>73032</v>
      </c>
      <c r="D22">
        <v>73032</v>
      </c>
      <c r="E22" t="e">
        <f>Income[[#This Row],[Begroot 2023]]+(10^-6)*ROW(Income[[#This Row],[Begroot 2023]])</f>
        <v>#VALUE!</v>
      </c>
      <c r="F22">
        <f>((D22-D21)*I22)-((C22-C21)*H22)+3405.91</f>
        <v>399.42759999999998</v>
      </c>
      <c r="G22" s="89" t="s">
        <v>3</v>
      </c>
      <c r="H22" s="81">
        <v>0.6</v>
      </c>
      <c r="I22" s="81">
        <v>0.36930000000000002</v>
      </c>
    </row>
    <row r="23" spans="2:10" ht="30" customHeight="1">
      <c r="B23" s="10" t="s">
        <v>106</v>
      </c>
      <c r="C23" s="3">
        <v>100000</v>
      </c>
      <c r="D23" s="3">
        <v>100000</v>
      </c>
      <c r="E23" s="3" t="e">
        <f>Income[[#This Row],[Begroot 2023]]+(10^-6)*ROW(Income[[#This Row],[Begroot 2023]])</f>
        <v>#VALUE!</v>
      </c>
      <c r="F23" s="3">
        <f>((D23-D22)*I23)-((C23-C22)*H23)+399.43</f>
        <v>-2432.2099999999996</v>
      </c>
      <c r="H23" s="81">
        <v>0.6</v>
      </c>
      <c r="I23" s="82">
        <v>0.495</v>
      </c>
    </row>
    <row r="24" spans="2:10" ht="30" customHeight="1">
      <c r="H24" s="7"/>
      <c r="I24" s="7"/>
    </row>
    <row r="25" spans="2:10" ht="30" customHeight="1">
      <c r="H25" s="7"/>
      <c r="I25" s="7"/>
    </row>
    <row r="26" spans="2:10" ht="30" customHeight="1">
      <c r="H26" s="7"/>
      <c r="I26" s="7"/>
    </row>
    <row r="27" spans="2:10" ht="30" customHeight="1">
      <c r="H27" s="7"/>
      <c r="I27" s="7"/>
    </row>
    <row r="28" spans="2:10" ht="30" customHeight="1">
      <c r="H28" s="7"/>
      <c r="I28" s="7"/>
    </row>
    <row r="29" spans="2:10" ht="30" customHeight="1">
      <c r="H29" s="7"/>
      <c r="I29" s="7"/>
    </row>
    <row r="30" spans="2:10" ht="30" customHeight="1">
      <c r="H30" s="7"/>
      <c r="I30" s="7"/>
    </row>
    <row r="31" spans="2:10" ht="30" customHeight="1">
      <c r="H31" s="7"/>
      <c r="I31" s="7"/>
    </row>
    <row r="32" spans="2:10" ht="30" customHeight="1">
      <c r="H32" s="7"/>
      <c r="I32" s="7"/>
    </row>
    <row r="33" spans="8:9" ht="30" customHeight="1">
      <c r="H33" s="7"/>
      <c r="I33" s="7"/>
    </row>
    <row r="34" spans="8:9" ht="30" customHeight="1">
      <c r="H34" s="7"/>
      <c r="I34" s="7"/>
    </row>
    <row r="35" spans="8:9" ht="30" customHeight="1">
      <c r="H35" s="7"/>
      <c r="I35" s="7"/>
    </row>
    <row r="36" spans="8:9" ht="30" customHeight="1">
      <c r="H36" s="7"/>
      <c r="I36" s="7"/>
    </row>
    <row r="37" spans="8:9" ht="30" customHeight="1">
      <c r="H37" s="7"/>
      <c r="I37" s="7"/>
    </row>
    <row r="38" spans="8:9" ht="30" customHeight="1">
      <c r="H38" s="7"/>
      <c r="I38" s="7"/>
    </row>
    <row r="39" spans="8:9" ht="30" customHeight="1">
      <c r="H39" s="7"/>
      <c r="I39" s="7"/>
    </row>
    <row r="40" spans="8:9" ht="30" customHeight="1">
      <c r="H40" s="7"/>
      <c r="I40" s="7"/>
    </row>
    <row r="41" spans="8:9" ht="30" customHeight="1">
      <c r="H41" s="7"/>
      <c r="I41" s="7"/>
    </row>
    <row r="42" spans="8:9" ht="30" customHeight="1">
      <c r="H42" s="7"/>
      <c r="I42" s="7"/>
    </row>
    <row r="43" spans="8:9" ht="30" customHeight="1">
      <c r="H43" s="7"/>
      <c r="I43" s="7"/>
    </row>
    <row r="44" spans="8:9" ht="30" customHeight="1">
      <c r="H44" s="7"/>
      <c r="I44" s="7"/>
    </row>
    <row r="45" spans="8:9" ht="30" customHeight="1">
      <c r="H45" s="7"/>
      <c r="I45" s="7"/>
    </row>
    <row r="46" spans="8:9" ht="30" customHeight="1">
      <c r="H46" s="7"/>
      <c r="I46" s="7"/>
    </row>
    <row r="47" spans="8:9" ht="30" customHeight="1">
      <c r="H47" s="7"/>
      <c r="I47" s="7"/>
    </row>
    <row r="48" spans="8:9" ht="30" customHeight="1">
      <c r="H48" s="7"/>
      <c r="I48" s="7"/>
    </row>
    <row r="49" spans="8:9" ht="30" customHeight="1">
      <c r="H49" s="7"/>
      <c r="I49" s="7"/>
    </row>
    <row r="50" spans="8:9" ht="30" customHeight="1">
      <c r="H50" s="7"/>
      <c r="I50" s="7"/>
    </row>
    <row r="51" spans="8:9" ht="30" customHeight="1">
      <c r="H51" s="7"/>
      <c r="I51" s="7"/>
    </row>
    <row r="52" spans="8:9" ht="30" customHeight="1">
      <c r="H52" s="7"/>
      <c r="I52" s="7"/>
    </row>
    <row r="53" spans="8:9" ht="30" customHeight="1">
      <c r="H53" s="7"/>
      <c r="I53" s="7"/>
    </row>
    <row r="54" spans="8:9" ht="30" customHeight="1">
      <c r="H54" s="7"/>
      <c r="I54" s="7"/>
    </row>
    <row r="55" spans="8:9" ht="30" customHeight="1">
      <c r="H55" s="7"/>
      <c r="I55" s="7"/>
    </row>
    <row r="56" spans="8:9" ht="30" customHeight="1">
      <c r="H56" s="7"/>
      <c r="I56" s="7"/>
    </row>
    <row r="57" spans="8:9" ht="30" customHeight="1">
      <c r="H57" s="7"/>
      <c r="I57" s="7"/>
    </row>
    <row r="58" spans="8:9" ht="30" customHeight="1">
      <c r="H58" s="7"/>
      <c r="I58" s="7"/>
    </row>
    <row r="59" spans="8:9" ht="30" customHeight="1">
      <c r="H59" s="7"/>
      <c r="I59" s="7"/>
    </row>
    <row r="60" spans="8:9" ht="30" customHeight="1">
      <c r="H60" s="7"/>
      <c r="I60" s="7"/>
    </row>
    <row r="61" spans="8:9" ht="30" customHeight="1">
      <c r="H61" s="7"/>
      <c r="I61" s="7"/>
    </row>
    <row r="62" spans="8:9" ht="30" customHeight="1">
      <c r="H62" s="7"/>
      <c r="I62" s="7"/>
    </row>
    <row r="63" spans="8:9" ht="30" customHeight="1">
      <c r="H63" s="7"/>
      <c r="I63" s="7"/>
    </row>
    <row r="64" spans="8:9" ht="30" customHeight="1">
      <c r="H64" s="7"/>
      <c r="I64" s="7"/>
    </row>
    <row r="65" spans="8:9" ht="30" customHeight="1">
      <c r="H65" s="7"/>
      <c r="I65" s="7"/>
    </row>
    <row r="66" spans="8:9" ht="30" customHeight="1">
      <c r="H66" s="7"/>
      <c r="I66" s="7"/>
    </row>
    <row r="67" spans="8:9" ht="30" customHeight="1">
      <c r="H67" s="7"/>
      <c r="I67" s="7"/>
    </row>
    <row r="68" spans="8:9" ht="30" customHeight="1">
      <c r="H68" s="7"/>
      <c r="I68" s="7"/>
    </row>
    <row r="69" spans="8:9" ht="30" customHeight="1">
      <c r="H69" s="7"/>
      <c r="I69" s="7"/>
    </row>
    <row r="70" spans="8:9" ht="30" customHeight="1">
      <c r="H70" s="7"/>
      <c r="I70" s="7"/>
    </row>
    <row r="71" spans="8:9" ht="30" customHeight="1">
      <c r="H71" s="7"/>
      <c r="I71" s="7"/>
    </row>
    <row r="72" spans="8:9" ht="30" customHeight="1">
      <c r="H72" s="7"/>
      <c r="I72" s="7"/>
    </row>
    <row r="73" spans="8:9" ht="30" customHeight="1">
      <c r="H73" s="7"/>
      <c r="I73" s="7"/>
    </row>
    <row r="74" spans="8:9" ht="30" customHeight="1">
      <c r="H74" s="7"/>
      <c r="I74" s="7"/>
    </row>
    <row r="75" spans="8:9" ht="30" customHeight="1">
      <c r="H75" s="7"/>
      <c r="I75" s="7"/>
    </row>
    <row r="76" spans="8:9" ht="30" customHeight="1">
      <c r="H76" s="7"/>
      <c r="I76" s="7"/>
    </row>
    <row r="77" spans="8:9" ht="30" customHeight="1">
      <c r="H77" s="7"/>
      <c r="I77" s="7"/>
    </row>
    <row r="78" spans="8:9" ht="30" customHeight="1">
      <c r="H78" s="7"/>
      <c r="I78" s="7"/>
    </row>
    <row r="79" spans="8:9" ht="30" customHeight="1">
      <c r="H79" s="7"/>
      <c r="I79" s="7"/>
    </row>
    <row r="80" spans="8:9" ht="30" customHeight="1">
      <c r="H80" s="7"/>
      <c r="I80" s="7"/>
    </row>
    <row r="81" spans="8:9" ht="30" customHeight="1">
      <c r="H81" s="7"/>
      <c r="I81" s="7"/>
    </row>
    <row r="82" spans="8:9" ht="30" customHeight="1">
      <c r="H82" s="7"/>
      <c r="I82" s="7"/>
    </row>
    <row r="83" spans="8:9" ht="30" customHeight="1">
      <c r="H83" s="7"/>
      <c r="I83" s="7"/>
    </row>
    <row r="84" spans="8:9" ht="30" customHeight="1">
      <c r="H84" s="7"/>
      <c r="I84" s="7"/>
    </row>
    <row r="85" spans="8:9" ht="30" customHeight="1">
      <c r="H85" s="7"/>
      <c r="I85" s="7"/>
    </row>
    <row r="86" spans="8:9" ht="30" customHeight="1">
      <c r="H86" s="7"/>
      <c r="I86" s="7"/>
    </row>
    <row r="87" spans="8:9" ht="30" customHeight="1">
      <c r="H87" s="7"/>
      <c r="I87" s="7"/>
    </row>
    <row r="88" spans="8:9" ht="30" customHeight="1">
      <c r="H88" s="7"/>
      <c r="I88" s="7"/>
    </row>
    <row r="89" spans="8:9" ht="30" customHeight="1">
      <c r="H89" s="7"/>
      <c r="I89" s="7"/>
    </row>
    <row r="90" spans="8:9" ht="30" customHeight="1">
      <c r="H90" s="7"/>
      <c r="I90" s="7"/>
    </row>
    <row r="91" spans="8:9" ht="30" customHeight="1">
      <c r="H91" s="7"/>
      <c r="I91" s="7"/>
    </row>
    <row r="92" spans="8:9" ht="30" customHeight="1">
      <c r="H92" s="7"/>
      <c r="I92" s="7"/>
    </row>
    <row r="93" spans="8:9" ht="30" customHeight="1">
      <c r="H93" s="7"/>
      <c r="I93" s="7"/>
    </row>
    <row r="94" spans="8:9" ht="30" customHeight="1">
      <c r="H94" s="7"/>
      <c r="I94" s="7"/>
    </row>
    <row r="95" spans="8:9" ht="30" customHeight="1">
      <c r="H95" s="7"/>
      <c r="I95" s="7"/>
    </row>
    <row r="96" spans="8:9" ht="30" customHeight="1">
      <c r="H96" s="7"/>
      <c r="I96" s="7"/>
    </row>
    <row r="97" spans="8:9" ht="30" customHeight="1">
      <c r="H97" s="7"/>
      <c r="I97" s="7"/>
    </row>
    <row r="98" spans="8:9" ht="30" customHeight="1">
      <c r="H98" s="7"/>
      <c r="I98" s="7"/>
    </row>
    <row r="99" spans="8:9" ht="30" customHeight="1">
      <c r="H99" s="7"/>
      <c r="I99" s="7"/>
    </row>
    <row r="100" spans="8:9" ht="30" customHeight="1">
      <c r="H100" s="7"/>
      <c r="I100" s="7"/>
    </row>
    <row r="101" spans="8:9" ht="30" customHeight="1">
      <c r="H101" s="7"/>
      <c r="I101" s="7"/>
    </row>
    <row r="102" spans="8:9" ht="30" customHeight="1">
      <c r="H102" s="7"/>
      <c r="I102" s="7"/>
    </row>
    <row r="103" spans="8:9" ht="30" customHeight="1">
      <c r="H103" s="7"/>
      <c r="I103" s="7"/>
    </row>
    <row r="104" spans="8:9" ht="30" customHeight="1">
      <c r="H104" s="7"/>
      <c r="I104" s="7"/>
    </row>
    <row r="105" spans="8:9" ht="30" customHeight="1">
      <c r="H105" s="7"/>
      <c r="I105" s="7"/>
    </row>
    <row r="106" spans="8:9" ht="30" customHeight="1">
      <c r="H106" s="7"/>
      <c r="I106" s="7"/>
    </row>
    <row r="107" spans="8:9" ht="30" customHeight="1">
      <c r="H107" s="7"/>
      <c r="I107" s="7"/>
    </row>
    <row r="108" spans="8:9" ht="30" customHeight="1">
      <c r="H108" s="7"/>
      <c r="I108" s="7"/>
    </row>
    <row r="109" spans="8:9" ht="30" customHeight="1">
      <c r="H109" s="7"/>
      <c r="I109" s="7"/>
    </row>
    <row r="110" spans="8:9" ht="30" customHeight="1">
      <c r="H110" s="7"/>
      <c r="I110" s="7"/>
    </row>
    <row r="111" spans="8:9" ht="30" customHeight="1">
      <c r="H111" s="7"/>
      <c r="I111" s="7"/>
    </row>
    <row r="112" spans="8:9" ht="30" customHeight="1">
      <c r="H112" s="7"/>
      <c r="I112" s="7"/>
    </row>
    <row r="113" spans="8:9" ht="30" customHeight="1">
      <c r="H113" s="7"/>
      <c r="I113" s="7"/>
    </row>
    <row r="114" spans="8:9" ht="30" customHeight="1">
      <c r="H114" s="7"/>
      <c r="I114" s="7"/>
    </row>
    <row r="115" spans="8:9" ht="30" customHeight="1">
      <c r="H115" s="7"/>
      <c r="I115" s="7"/>
    </row>
    <row r="116" spans="8:9" ht="30" customHeight="1">
      <c r="H116" s="7"/>
      <c r="I116" s="7"/>
    </row>
    <row r="117" spans="8:9" ht="30" customHeight="1">
      <c r="H117" s="7"/>
      <c r="I117" s="7"/>
    </row>
    <row r="118" spans="8:9" ht="30" customHeight="1">
      <c r="H118" s="7"/>
      <c r="I118" s="7"/>
    </row>
    <row r="119" spans="8:9" ht="30" customHeight="1">
      <c r="H119" s="7"/>
      <c r="I119" s="7"/>
    </row>
    <row r="120" spans="8:9" ht="30" customHeight="1">
      <c r="H120" s="7"/>
      <c r="I120" s="7"/>
    </row>
    <row r="121" spans="8:9" ht="30" customHeight="1">
      <c r="H121" s="7"/>
      <c r="I121" s="7"/>
    </row>
    <row r="122" spans="8:9" ht="30" customHeight="1">
      <c r="H122" s="7"/>
      <c r="I122" s="7"/>
    </row>
    <row r="123" spans="8:9" ht="30" customHeight="1">
      <c r="H123" s="7"/>
      <c r="I123" s="7"/>
    </row>
    <row r="124" spans="8:9" ht="30" customHeight="1">
      <c r="H124" s="7"/>
      <c r="I124" s="7"/>
    </row>
    <row r="125" spans="8:9" ht="30" customHeight="1">
      <c r="H125" s="7"/>
      <c r="I125" s="7"/>
    </row>
    <row r="126" spans="8:9" ht="30" customHeight="1">
      <c r="H126" s="7"/>
      <c r="I126" s="7"/>
    </row>
    <row r="127" spans="8:9" ht="30" customHeight="1">
      <c r="H127" s="7"/>
      <c r="I127" s="7"/>
    </row>
    <row r="128" spans="8:9" ht="30" customHeight="1">
      <c r="H128" s="7"/>
      <c r="I128" s="7"/>
    </row>
    <row r="129" spans="8:9" ht="30" customHeight="1">
      <c r="H129" s="7"/>
      <c r="I129" s="7"/>
    </row>
    <row r="130" spans="8:9" ht="30" customHeight="1">
      <c r="H130" s="7"/>
      <c r="I130" s="7"/>
    </row>
    <row r="131" spans="8:9" ht="30" customHeight="1">
      <c r="H131" s="7"/>
      <c r="I131" s="7"/>
    </row>
  </sheetData>
  <sheetProtection insertColumns="0" insertRows="0" deleteColumns="0" deleteRows="0" selectLockedCells="1" autoFilter="0"/>
  <dataConsolidate/>
  <mergeCells count="4">
    <mergeCell ref="P3:R3"/>
    <mergeCell ref="B1:D1"/>
    <mergeCell ref="B2:D2"/>
    <mergeCell ref="B3:D3"/>
  </mergeCells>
  <conditionalFormatting sqref="F16">
    <cfRule type="cellIs" dxfId="0" priority="3" operator="lessThan">
      <formula>0</formula>
    </cfRule>
  </conditionalFormatting>
  <dataValidations count="10">
    <dataValidation type="custom" allowBlank="1" showInputMessage="1" showErrorMessage="1" errorTitle="ALERT" error="This cell is automatically populated and should not be overwitten. Overwriting this cell would break calculations in this worksheet." sqref="G4:G6" xr:uid="{00000000-0002-0000-0100-000000000000}">
      <formula1>LEN(G4)=""</formula1>
    </dataValidation>
    <dataValidation allowBlank="1" showInputMessage="1" showErrorMessage="1" prompt="Enter Income details in this column under this heading. Use heading filters to find specific entries" sqref="B5 J5 B18" xr:uid="{00000000-0002-0000-0100-000002000000}"/>
    <dataValidation allowBlank="1" showInputMessage="1" showErrorMessage="1" prompt="Enter Estimated amount in this column under this heading" sqref="C5 K5 I5 C18:D18" xr:uid="{00000000-0002-0000-0100-000003000000}"/>
    <dataValidation allowBlank="1" showInputMessage="1" showErrorMessage="1" prompt="Enter Actual amount in this column under this heading" sqref="D5 L5" xr:uid="{00000000-0002-0000-0100-000004000000}"/>
    <dataValidation allowBlank="1" showInputMessage="1" showErrorMessage="1" prompt="Difference of Estimated and Actual Income is automatically calculated in this column under this heading" sqref="F5 N5 F18 H18:I18" xr:uid="{00000000-0002-0000-0100-000005000000}"/>
    <dataValidation allowBlank="1" showInputMessage="1" showErrorMessage="1" prompt="Enter Company Name in this cell" sqref="B1" xr:uid="{00000000-0002-0000-0100-000008000000}"/>
    <dataValidation allowBlank="1" showInputMessage="1" showErrorMessage="1" prompt="Title of this worksheet is in this cell. Enter Date in cell F1. Budget Totals are automatically calculated in Totals table starting in cell B4" sqref="E2" xr:uid="{E94C5016-68FE-4394-9F6F-CB2BBEB64B1D}"/>
    <dataValidation allowBlank="1" showInputMessage="1" showErrorMessage="1" prompt="Enter Date in this cell" sqref="F1" xr:uid="{9A03F494-017A-4E21-8D5E-DBDE186E011A}"/>
    <dataValidation allowBlank="1" showInputMessage="1" showErrorMessage="1" prompt="Title of this worksheet is in this cell. Enter Date in cell F1. Budget Totals are automatically calculated in Totals table starting in cell B5" sqref="B2:D2" xr:uid="{78B2185D-D293-49DA-B487-49A34A2E8765}"/>
    <dataValidation allowBlank="1" showInputMessage="1" showErrorMessage="1" errorTitle="ALERT" error="This cell is automatically populated and should not be overwitten. Overwriting this cell would break calculations in this worksheet." sqref="F6:F15 F19:F23" xr:uid="{00000000-0002-0000-0100-000001000000}"/>
  </dataValidations>
  <printOptions horizontalCentered="1"/>
  <pageMargins left="1" right="1" top="1" bottom="1" header="0.5" footer="0.5"/>
  <pageSetup paperSize="9" scale="5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G4:G6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  <pageSetUpPr autoPageBreaks="0" fitToPage="1"/>
  </sheetPr>
  <dimension ref="A1:T35"/>
  <sheetViews>
    <sheetView showGridLines="0" zoomScaleNormal="100" workbookViewId="0">
      <selection activeCell="F2" sqref="F2"/>
    </sheetView>
  </sheetViews>
  <sheetFormatPr defaultColWidth="9" defaultRowHeight="30" customHeight="1"/>
  <cols>
    <col min="1" max="1" width="4.125" customWidth="1"/>
    <col min="2" max="2" width="29.125" customWidth="1"/>
    <col min="3" max="3" width="19" customWidth="1"/>
    <col min="4" max="4" width="18.75" customWidth="1"/>
    <col min="5" max="5" width="18" hidden="1" customWidth="1"/>
    <col min="6" max="6" width="19" customWidth="1"/>
    <col min="7" max="8" width="4.125" customWidth="1"/>
    <col min="10" max="10" width="61.5" customWidth="1"/>
    <col min="14" max="14" width="25.625" customWidth="1"/>
  </cols>
  <sheetData>
    <row r="1" spans="1:20" ht="37.9" customHeight="1">
      <c r="A1" s="13"/>
      <c r="B1" s="127" t="str">
        <f>COMPANY_NAME</f>
        <v>DE NEDERLANDSE STAAT</v>
      </c>
      <c r="C1" s="127"/>
      <c r="D1" s="127"/>
      <c r="E1" s="26" t="s">
        <v>2</v>
      </c>
      <c r="F1" s="48"/>
      <c r="G1" s="16"/>
    </row>
    <row r="2" spans="1:20" ht="64.900000000000006" customHeight="1">
      <c r="A2" s="13"/>
      <c r="B2" s="128" t="s">
        <v>6</v>
      </c>
      <c r="C2" s="128"/>
      <c r="D2" s="128"/>
      <c r="E2" s="27"/>
      <c r="F2" s="28"/>
      <c r="G2" s="18"/>
    </row>
    <row r="3" spans="1:20" ht="37.9" customHeight="1">
      <c r="A3" s="13"/>
      <c r="B3" s="129" t="s">
        <v>4</v>
      </c>
      <c r="C3" s="129"/>
      <c r="D3" s="129"/>
      <c r="E3" s="35"/>
      <c r="F3" s="36"/>
      <c r="G3" s="32"/>
      <c r="H3" s="32"/>
      <c r="I3" s="32"/>
      <c r="J3" s="32"/>
      <c r="K3" s="32"/>
      <c r="L3" s="32"/>
      <c r="M3" s="32"/>
      <c r="N3" s="32"/>
      <c r="O3" s="32"/>
      <c r="P3" s="122"/>
      <c r="Q3" s="123"/>
      <c r="R3" s="123"/>
      <c r="S3" s="32"/>
      <c r="T3" s="1"/>
    </row>
    <row r="4" spans="1:20" ht="15" customHeight="1">
      <c r="A4" s="1"/>
      <c r="B4" s="1"/>
      <c r="C4" s="1"/>
      <c r="D4" s="1"/>
      <c r="E4" s="1"/>
      <c r="F4" s="1"/>
      <c r="G4" s="16"/>
    </row>
    <row r="5" spans="1:20" ht="36" customHeight="1">
      <c r="A5" s="4"/>
      <c r="B5" s="51" t="s">
        <v>12</v>
      </c>
      <c r="C5" s="52" t="s">
        <v>10</v>
      </c>
      <c r="D5" s="52" t="s">
        <v>9</v>
      </c>
      <c r="E5" s="11" t="s">
        <v>0</v>
      </c>
      <c r="F5" s="11" t="s">
        <v>11</v>
      </c>
      <c r="G5" s="17"/>
      <c r="I5" s="73" t="s">
        <v>3</v>
      </c>
      <c r="J5" s="73" t="s">
        <v>12</v>
      </c>
    </row>
    <row r="6" spans="1:20" ht="30" customHeight="1">
      <c r="A6" s="1"/>
      <c r="B6" s="10" t="s">
        <v>35</v>
      </c>
      <c r="C6" s="66">
        <v>0.5</v>
      </c>
      <c r="D6" s="66">
        <v>0.65500000000000003</v>
      </c>
      <c r="E6" s="11">
        <f>PersonnelExpenses[[#This Row],[Begroot 2023]]+(10^-6)*ROW(PersonnelExpenses[[#This Row],[Begroot 2023]])</f>
        <v>0.65500599999999998</v>
      </c>
      <c r="F6" s="68">
        <f>PersonnelExpenses[[#This Row],[Begroot 2024]]-PersonnelExpenses[[#This Row],[Begroot 2023]]</f>
        <v>-0.15500000000000003</v>
      </c>
      <c r="G6" s="14"/>
      <c r="I6" s="60">
        <v>1</v>
      </c>
      <c r="J6" s="62" t="s">
        <v>52</v>
      </c>
    </row>
    <row r="7" spans="1:20" ht="30" customHeight="1">
      <c r="A7" s="1"/>
      <c r="B7" s="62" t="s">
        <v>25</v>
      </c>
      <c r="C7" s="66">
        <v>1</v>
      </c>
      <c r="D7" s="66">
        <v>1.3</v>
      </c>
      <c r="E7" s="11">
        <f>PersonnelExpenses[[#This Row],[Begroot 2023]]+(10^-6)*ROW(PersonnelExpenses[[#This Row],[Begroot 2023]])</f>
        <v>1.3000070000000001</v>
      </c>
      <c r="F7" s="68">
        <f>PersonnelExpenses[[#This Row],[Begroot 2024]]-PersonnelExpenses[[#This Row],[Begroot 2023]]</f>
        <v>-0.30000000000000004</v>
      </c>
      <c r="G7" s="14"/>
      <c r="I7" s="60">
        <v>2</v>
      </c>
      <c r="J7" s="10" t="s">
        <v>53</v>
      </c>
    </row>
    <row r="8" spans="1:20" ht="30" customHeight="1">
      <c r="A8" s="1"/>
      <c r="B8" s="10" t="s">
        <v>26</v>
      </c>
      <c r="C8" s="66">
        <v>4.3</v>
      </c>
      <c r="D8" s="66">
        <v>4.7</v>
      </c>
      <c r="E8" s="11">
        <f>PersonnelExpenses[[#This Row],[Begroot 2023]]+(10^-6)*ROW(PersonnelExpenses[[#This Row],[Begroot 2023]])</f>
        <v>4.7000080000000004</v>
      </c>
      <c r="F8" s="68">
        <f>PersonnelExpenses[[#This Row],[Begroot 2024]]-PersonnelExpenses[[#This Row],[Begroot 2023]]</f>
        <v>-0.40000000000000036</v>
      </c>
      <c r="G8" s="14"/>
      <c r="I8" s="60">
        <v>3</v>
      </c>
      <c r="J8" s="62" t="s">
        <v>56</v>
      </c>
    </row>
    <row r="9" spans="1:20" ht="30" customHeight="1">
      <c r="A9" s="1"/>
      <c r="B9" s="62" t="s">
        <v>27</v>
      </c>
      <c r="C9" s="66">
        <v>3.6</v>
      </c>
      <c r="D9" s="66">
        <v>3.6</v>
      </c>
      <c r="E9" s="11">
        <f>PersonnelExpenses[[#This Row],[Begroot 2023]]+(10^-6)*ROW(PersonnelExpenses[[#This Row],[Begroot 2023]])</f>
        <v>3.600009</v>
      </c>
      <c r="F9" s="68">
        <f>PersonnelExpenses[[#This Row],[Begroot 2024]]-PersonnelExpenses[[#This Row],[Begroot 2023]]</f>
        <v>0</v>
      </c>
      <c r="G9" s="15"/>
      <c r="I9" s="60">
        <v>4</v>
      </c>
      <c r="J9" s="10"/>
    </row>
    <row r="10" spans="1:20" ht="30" customHeight="1">
      <c r="B10" s="10" t="s">
        <v>28</v>
      </c>
      <c r="C10" s="66">
        <v>0.8</v>
      </c>
      <c r="D10" s="66">
        <v>0.8</v>
      </c>
      <c r="E10" s="11">
        <f>PersonnelExpenses[[#This Row],[Begroot 2023]]+(10^-6)*ROW(PersonnelExpenses[[#This Row],[Begroot 2023]])</f>
        <v>0.80001</v>
      </c>
      <c r="F10" s="68">
        <f>PersonnelExpenses[[#This Row],[Begroot 2024]]-PersonnelExpenses[[#This Row],[Begroot 2023]]</f>
        <v>0</v>
      </c>
      <c r="I10" s="61">
        <v>5</v>
      </c>
      <c r="J10" s="62"/>
    </row>
    <row r="11" spans="1:20" ht="30" customHeight="1">
      <c r="B11" s="62" t="s">
        <v>29</v>
      </c>
      <c r="C11" s="66">
        <v>0.5</v>
      </c>
      <c r="D11" s="66">
        <v>0.5</v>
      </c>
      <c r="E11" s="11">
        <f>PersonnelExpenses[[#This Row],[Begroot 2023]]+(10^-6)*ROW(PersonnelExpenses[[#This Row],[Begroot 2023]])</f>
        <v>0.50001099999999998</v>
      </c>
      <c r="F11" s="68">
        <f>PersonnelExpenses[[#This Row],[Begroot 2024]]-PersonnelExpenses[[#This Row],[Begroot 2023]]</f>
        <v>0</v>
      </c>
      <c r="I11" s="61">
        <v>6</v>
      </c>
      <c r="J11" s="10"/>
    </row>
    <row r="12" spans="1:20" ht="30" customHeight="1">
      <c r="B12" s="10" t="s">
        <v>30</v>
      </c>
      <c r="C12" s="66">
        <v>11</v>
      </c>
      <c r="D12" s="66">
        <v>8.8000000000000007</v>
      </c>
      <c r="E12" s="11">
        <f>PersonnelExpenses[[#This Row],[Begroot 2023]]+(10^-6)*ROW(PersonnelExpenses[[#This Row],[Begroot 2023]])</f>
        <v>8.8000120000000006</v>
      </c>
      <c r="F12" s="68">
        <f>PersonnelExpenses[[#This Row],[Begroot 2024]]-PersonnelExpenses[[#This Row],[Begroot 2023]]</f>
        <v>2.1999999999999993</v>
      </c>
      <c r="I12" s="61">
        <v>7</v>
      </c>
      <c r="J12" s="62" t="s">
        <v>61</v>
      </c>
    </row>
    <row r="13" spans="1:20" ht="30" customHeight="1">
      <c r="B13" s="62" t="s">
        <v>31</v>
      </c>
      <c r="C13" s="66">
        <v>4.2</v>
      </c>
      <c r="D13" s="66">
        <v>4.0999999999999996</v>
      </c>
      <c r="E13" s="11">
        <f>PersonnelExpenses[[#This Row],[Begroot 2023]]+(10^-6)*ROW(PersonnelExpenses[[#This Row],[Begroot 2023]])</f>
        <v>4.1000129999999997</v>
      </c>
      <c r="F13" s="68">
        <f>PersonnelExpenses[[#This Row],[Begroot 2024]]-PersonnelExpenses[[#This Row],[Begroot 2023]]</f>
        <v>0.10000000000000053</v>
      </c>
      <c r="I13" s="60">
        <v>8</v>
      </c>
      <c r="J13" s="10" t="s">
        <v>62</v>
      </c>
    </row>
    <row r="14" spans="1:20" ht="30" customHeight="1">
      <c r="B14" s="10" t="s">
        <v>36</v>
      </c>
      <c r="C14" s="66">
        <v>1.5</v>
      </c>
      <c r="D14" s="66">
        <v>2</v>
      </c>
      <c r="E14" s="11">
        <f>PersonnelExpenses[[#This Row],[Begroot 2023]]+(10^-6)*ROW(PersonnelExpenses[[#This Row],[Begroot 2023]])</f>
        <v>2.0000140000000002</v>
      </c>
      <c r="F14" s="68">
        <f>PersonnelExpenses[[#This Row],[Begroot 2024]]-PersonnelExpenses[[#This Row],[Begroot 2023]]</f>
        <v>-0.5</v>
      </c>
      <c r="I14" s="60">
        <v>9</v>
      </c>
      <c r="J14" s="62" t="s">
        <v>63</v>
      </c>
    </row>
    <row r="15" spans="1:20" ht="30" customHeight="1">
      <c r="B15" s="62" t="s">
        <v>37</v>
      </c>
      <c r="C15" s="66">
        <v>1</v>
      </c>
      <c r="D15" s="66">
        <v>0.8</v>
      </c>
      <c r="E15" s="11">
        <f>PersonnelExpenses[[#This Row],[Begroot 2023]]+(10^-6)*ROW(PersonnelExpenses[[#This Row],[Begroot 2023]])</f>
        <v>0.80001500000000003</v>
      </c>
      <c r="F15" s="68">
        <f>PersonnelExpenses[[#This Row],[Begroot 2024]]-PersonnelExpenses[[#This Row],[Begroot 2023]]</f>
        <v>0.19999999999999996</v>
      </c>
      <c r="I15" s="60">
        <v>10</v>
      </c>
      <c r="J15" s="10" t="s">
        <v>80</v>
      </c>
    </row>
    <row r="16" spans="1:20" ht="30" customHeight="1">
      <c r="B16" s="10" t="s">
        <v>38</v>
      </c>
      <c r="C16" s="66">
        <v>0.7</v>
      </c>
      <c r="D16" s="66">
        <v>0.8</v>
      </c>
      <c r="E16" s="11">
        <f>PersonnelExpenses[[#This Row],[Begroot 2023]]+(10^-6)*ROW(PersonnelExpenses[[#This Row],[Begroot 2023]])</f>
        <v>0.80001600000000006</v>
      </c>
      <c r="F16" s="68">
        <f>PersonnelExpenses[[#This Row],[Begroot 2024]]-PersonnelExpenses[[#This Row],[Begroot 2023]]</f>
        <v>-0.10000000000000009</v>
      </c>
      <c r="I16" s="60">
        <v>11</v>
      </c>
      <c r="J16" s="62" t="s">
        <v>65</v>
      </c>
    </row>
    <row r="17" spans="2:10" ht="30" customHeight="1">
      <c r="B17" s="62" t="s">
        <v>32</v>
      </c>
      <c r="C17" s="66">
        <v>0.7</v>
      </c>
      <c r="D17" s="66">
        <v>0.7</v>
      </c>
      <c r="E17" s="11">
        <f>PersonnelExpenses[[#This Row],[Begroot 2023]]+(10^-6)*ROW(PersonnelExpenses[[#This Row],[Begroot 2023]])</f>
        <v>0.700017</v>
      </c>
      <c r="F17" s="68">
        <f>PersonnelExpenses[[#This Row],[Begroot 2024]]-PersonnelExpenses[[#This Row],[Begroot 2023]]</f>
        <v>0</v>
      </c>
      <c r="I17" s="61">
        <v>12</v>
      </c>
      <c r="J17" s="10"/>
    </row>
    <row r="18" spans="2:10" ht="30" customHeight="1">
      <c r="B18" s="10" t="s">
        <v>39</v>
      </c>
      <c r="C18" s="66">
        <v>0</v>
      </c>
      <c r="D18" s="66">
        <v>0</v>
      </c>
      <c r="E18" s="11">
        <f>PersonnelExpenses[[#This Row],[Begroot 2023]]+(10^-6)*ROW(PersonnelExpenses[[#This Row],[Begroot 2023]])</f>
        <v>1.8E-5</v>
      </c>
      <c r="F18" s="68">
        <f>PersonnelExpenses[[#This Row],[Begroot 2024]]-PersonnelExpenses[[#This Row],[Begroot 2023]]</f>
        <v>0</v>
      </c>
      <c r="I18" s="61">
        <v>13</v>
      </c>
      <c r="J18" s="62"/>
    </row>
    <row r="19" spans="2:10" ht="30" customHeight="1">
      <c r="B19" s="62" t="s">
        <v>33</v>
      </c>
      <c r="C19" s="66">
        <v>0</v>
      </c>
      <c r="D19" s="66">
        <v>0</v>
      </c>
      <c r="E19" s="11">
        <f>PersonnelExpenses[[#This Row],[Begroot 2023]]+(10^-6)*ROW(PersonnelExpenses[[#This Row],[Begroot 2023]])</f>
        <v>1.8999999999999998E-5</v>
      </c>
      <c r="F19" s="68">
        <f>PersonnelExpenses[[#This Row],[Begroot 2024]]-PersonnelExpenses[[#This Row],[Begroot 2023]]</f>
        <v>0</v>
      </c>
      <c r="I19" s="61">
        <v>14</v>
      </c>
    </row>
    <row r="20" spans="2:10" ht="30" customHeight="1">
      <c r="B20" s="10" t="s">
        <v>34</v>
      </c>
      <c r="C20" s="66">
        <v>0</v>
      </c>
      <c r="D20" s="66">
        <v>0</v>
      </c>
      <c r="E20" s="11">
        <f>PersonnelExpenses[[#This Row],[Begroot 2023]]+(10^-6)*ROW(PersonnelExpenses[[#This Row],[Begroot 2023]])</f>
        <v>1.9999999999999998E-5</v>
      </c>
      <c r="F20" s="68">
        <f>PersonnelExpenses[[#This Row],[Begroot 2024]]-PersonnelExpenses[[#This Row],[Begroot 2023]]</f>
        <v>0</v>
      </c>
      <c r="I20" s="61">
        <v>15</v>
      </c>
      <c r="J20" s="62"/>
    </row>
    <row r="21" spans="2:10" ht="30" customHeight="1">
      <c r="B21" s="62" t="s">
        <v>42</v>
      </c>
      <c r="C21" s="66">
        <v>0</v>
      </c>
      <c r="D21" s="66">
        <v>0</v>
      </c>
      <c r="E21" s="11">
        <f>PersonnelExpenses[[#This Row],[Begroot 2023]]+(10^-6)*ROW(PersonnelExpenses[[#This Row],[Begroot 2023]])</f>
        <v>2.0999999999999999E-5</v>
      </c>
      <c r="F21" s="68">
        <f>PersonnelExpenses[[#This Row],[Begroot 2024]]-PersonnelExpenses[[#This Row],[Begroot 2023]]</f>
        <v>0</v>
      </c>
      <c r="I21" s="61">
        <v>16</v>
      </c>
    </row>
    <row r="22" spans="2:10" ht="30" customHeight="1">
      <c r="B22" s="10" t="s">
        <v>41</v>
      </c>
      <c r="C22" s="67">
        <v>0</v>
      </c>
      <c r="D22" s="67">
        <v>0</v>
      </c>
      <c r="E22">
        <f>PersonnelExpenses[[#This Row],[Begroot 2023]]+(10^-6)*ROW(PersonnelExpenses[[#This Row],[Begroot 2023]])</f>
        <v>2.1999999999999999E-5</v>
      </c>
      <c r="F22" s="67">
        <f>PersonnelExpenses[[#This Row],[Begroot 2024]]-PersonnelExpenses[[#This Row],[Begroot 2023]]</f>
        <v>0</v>
      </c>
      <c r="I22" s="61">
        <v>17</v>
      </c>
      <c r="J22" s="62"/>
    </row>
    <row r="23" spans="2:10" ht="30" customHeight="1">
      <c r="B23" s="62" t="s">
        <v>40</v>
      </c>
      <c r="C23" s="67">
        <v>0</v>
      </c>
      <c r="D23" s="67">
        <v>0</v>
      </c>
      <c r="E23">
        <f>PersonnelExpenses[[#This Row],[Begroot 2023]]+(10^-6)*ROW(PersonnelExpenses[[#This Row],[Begroot 2023]])</f>
        <v>2.3E-5</v>
      </c>
      <c r="F23" s="67">
        <f>PersonnelExpenses[[#This Row],[Begroot 2024]]-PersonnelExpenses[[#This Row],[Begroot 2023]]</f>
        <v>0</v>
      </c>
      <c r="I23" s="61">
        <v>18</v>
      </c>
    </row>
    <row r="24" spans="2:10" ht="30" customHeight="1">
      <c r="B24" s="57" t="s">
        <v>43</v>
      </c>
      <c r="C24" s="45">
        <f>SUBTOTAL(109,PersonnelExpenses[Begroot 2024])</f>
        <v>29.8</v>
      </c>
      <c r="D24" s="45">
        <f>SUBTOTAL(109,PersonnelExpenses[Begroot 2023])</f>
        <v>28.755000000000006</v>
      </c>
      <c r="E24" s="46"/>
      <c r="F24" s="69">
        <f>SUBTOTAL(109,PersonnelExpenses[Verschil])</f>
        <v>1.0449999999999993</v>
      </c>
      <c r="I24" s="61">
        <v>19</v>
      </c>
      <c r="J24" s="62"/>
    </row>
    <row r="33" spans="4:6" ht="30" customHeight="1">
      <c r="D33" s="25"/>
    </row>
    <row r="35" spans="4:6" ht="30" customHeight="1">
      <c r="F35" t="s">
        <v>3</v>
      </c>
    </row>
  </sheetData>
  <sheetProtection insertColumns="0" insertRows="0" deleteColumns="0" deleteRows="0" selectLockedCells="1" autoFilter="0"/>
  <dataConsolidate/>
  <mergeCells count="4">
    <mergeCell ref="B1:D1"/>
    <mergeCell ref="B2:D2"/>
    <mergeCell ref="B3:D3"/>
    <mergeCell ref="P3:R3"/>
  </mergeCells>
  <dataValidations count="11">
    <dataValidation allowBlank="1" showInputMessage="1" showErrorMessage="1" errorTitle="ALERT" error="This cell is automatically populated and should not be overwitten. Overwriting this cell would break calculations in this worksheet." sqref="F22:F23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6:G8" xr:uid="{00000000-0002-0000-0200-000001000000}">
      <formula1>LEN(G6)=""</formula1>
    </dataValidation>
    <dataValidation allowBlank="1" showInputMessage="1" showErrorMessage="1" prompt="Enter Company Name in this cell" sqref="B1" xr:uid="{4F288946-D0C8-4EE5-9462-F8247EEB76E7}"/>
    <dataValidation allowBlank="1" showInputMessage="1" showErrorMessage="1" prompt="Title of this worksheet is in this cell. Enter Date in cell F1. Budget Totals are automatically calculated in Totals table starting in cell B4" sqref="E2" xr:uid="{E37D6936-3DAC-4F30-884D-56D443DFA95D}"/>
    <dataValidation allowBlank="1" showInputMessage="1" showErrorMessage="1" prompt="Enter Date in this cell" sqref="F1" xr:uid="{2B1174DB-4877-43F4-8722-2B00610EB364}"/>
    <dataValidation allowBlank="1" showInputMessage="1" showErrorMessage="1" prompt="Title of this worksheet is in this cell. Enter Date in cell E1. Budget Totals are automatically calculated in Totals table starting in cell B4" sqref="E3" xr:uid="{D1B81BE6-77C5-534F-93EB-411512EB8391}"/>
    <dataValidation allowBlank="1" showInputMessage="1" showErrorMessage="1" prompt="Title of this worksheet is in this cell. Enter Date in cell F1. Budget Totals are automatically calculated in Totals table starting in cell B5" sqref="B2:D2" xr:uid="{43A01619-8121-478C-A989-1761E3C13612}"/>
    <dataValidation allowBlank="1" showInputMessage="1" showErrorMessage="1" prompt="Enter Personnel Expenses in this column under this heading. Use heading filters to find specific entries" sqref="B5 I5:J5" xr:uid="{00000000-0002-0000-0200-000002000000}"/>
    <dataValidation allowBlank="1" showInputMessage="1" showErrorMessage="1" prompt="Enter Estimated amount in this column under this heading" sqref="C5:C21" xr:uid="{00000000-0002-0000-0200-000003000000}"/>
    <dataValidation allowBlank="1" showInputMessage="1" showErrorMessage="1" prompt="Enter Actual amount in this column under this heading" sqref="D5:D21" xr:uid="{00000000-0002-0000-0200-000004000000}"/>
    <dataValidation allowBlank="1" showInputMessage="1" showErrorMessage="1" prompt="Difference of Estimated and Actual Personnel Expenses is automatically calculated in this column under this heading" sqref="F5:F21" xr:uid="{00000000-0002-0000-0200-000005000000}"/>
  </dataValidations>
  <printOptions horizontalCentered="1"/>
  <pageMargins left="0.7" right="0.7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G6:G8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autoPageBreaks="0" fitToPage="1"/>
  </sheetPr>
  <dimension ref="A1:T26"/>
  <sheetViews>
    <sheetView showGridLines="0" zoomScaleNormal="100" workbookViewId="0">
      <selection activeCell="F1" sqref="F1"/>
    </sheetView>
  </sheetViews>
  <sheetFormatPr defaultColWidth="9" defaultRowHeight="30" customHeight="1"/>
  <cols>
    <col min="1" max="1" width="4.125" customWidth="1"/>
    <col min="2" max="2" width="30.625" bestFit="1" customWidth="1"/>
    <col min="3" max="3" width="19" customWidth="1"/>
    <col min="4" max="4" width="18.75" customWidth="1"/>
    <col min="5" max="5" width="21.75" hidden="1" customWidth="1"/>
    <col min="6" max="6" width="19" customWidth="1"/>
    <col min="7" max="8" width="4.125" customWidth="1"/>
    <col min="10" max="10" width="56.75" customWidth="1"/>
  </cols>
  <sheetData>
    <row r="1" spans="1:20" ht="37.9" customHeight="1">
      <c r="A1" s="19"/>
      <c r="B1" s="130" t="str">
        <f>COMPANY_NAME</f>
        <v>DE NEDERLANDSE STAAT</v>
      </c>
      <c r="C1" s="130"/>
      <c r="D1" s="130"/>
      <c r="E1" s="37" t="s">
        <v>2</v>
      </c>
      <c r="F1" s="55"/>
      <c r="G1" s="16"/>
    </row>
    <row r="2" spans="1:20" ht="64.900000000000006" customHeight="1">
      <c r="A2" s="19"/>
      <c r="B2" s="131" t="s">
        <v>6</v>
      </c>
      <c r="C2" s="131"/>
      <c r="D2" s="131"/>
      <c r="E2" s="43"/>
      <c r="F2" s="44"/>
      <c r="G2" s="18"/>
    </row>
    <row r="3" spans="1:20" ht="37.9" customHeight="1">
      <c r="A3" s="13"/>
      <c r="B3" s="132" t="s">
        <v>4</v>
      </c>
      <c r="C3" s="132"/>
      <c r="D3" s="132"/>
      <c r="E3" s="33"/>
      <c r="F3" s="34"/>
      <c r="G3" s="32"/>
      <c r="H3" s="32"/>
      <c r="I3" s="32"/>
      <c r="J3" s="32"/>
      <c r="K3" s="32"/>
      <c r="L3" s="32"/>
      <c r="M3" s="32"/>
      <c r="N3" s="32"/>
      <c r="O3" s="32"/>
      <c r="P3" s="122"/>
      <c r="Q3" s="123"/>
      <c r="R3" s="123"/>
      <c r="S3" s="32"/>
      <c r="T3" s="1"/>
    </row>
    <row r="4" spans="1:20" ht="15" customHeight="1">
      <c r="A4" s="1"/>
      <c r="B4" s="1"/>
      <c r="C4" s="1"/>
      <c r="D4" s="1"/>
      <c r="E4" s="1"/>
      <c r="F4" s="1"/>
      <c r="G4" s="16"/>
    </row>
    <row r="5" spans="1:20" ht="36" customHeight="1">
      <c r="A5" s="1"/>
      <c r="B5" s="51" t="s">
        <v>45</v>
      </c>
      <c r="C5" s="52" t="s">
        <v>10</v>
      </c>
      <c r="D5" s="11" t="s">
        <v>9</v>
      </c>
      <c r="E5" s="11" t="s">
        <v>0</v>
      </c>
      <c r="F5" s="11" t="s">
        <v>11</v>
      </c>
      <c r="G5" s="20"/>
      <c r="I5" s="74" t="s">
        <v>3</v>
      </c>
      <c r="J5" s="74" t="s">
        <v>12</v>
      </c>
    </row>
    <row r="6" spans="1:20" ht="30" customHeight="1">
      <c r="A6" s="1"/>
      <c r="B6" s="10" t="s">
        <v>35</v>
      </c>
      <c r="C6">
        <v>2</v>
      </c>
      <c r="D6">
        <v>2.5</v>
      </c>
      <c r="E6">
        <f>OperatingExpenses[[#This Row],[Begroot 2023]]+(10^-6)*ROW(OperatingExpenses[[#This Row],[Begroot 2023]])</f>
        <v>2.500006</v>
      </c>
      <c r="F6">
        <f>OperatingExpenses[[#This Row],[Begroot 2024]]-OperatingExpenses[[#This Row],[Begroot 2023]]</f>
        <v>-0.5</v>
      </c>
      <c r="G6" s="14"/>
      <c r="I6" s="60">
        <v>1</v>
      </c>
      <c r="J6" s="62" t="s">
        <v>52</v>
      </c>
    </row>
    <row r="7" spans="1:20" ht="30" customHeight="1">
      <c r="A7" s="1"/>
      <c r="B7" s="10" t="s">
        <v>25</v>
      </c>
      <c r="C7">
        <v>2.9</v>
      </c>
      <c r="D7">
        <v>11.9</v>
      </c>
      <c r="E7">
        <f>OperatingExpenses[[#This Row],[Begroot 2023]]+(10^-6)*ROW(OperatingExpenses[[#This Row],[Begroot 2023]])</f>
        <v>11.900007</v>
      </c>
      <c r="F7">
        <f>OperatingExpenses[[#This Row],[Begroot 2024]]-OperatingExpenses[[#This Row],[Begroot 2023]]</f>
        <v>-9</v>
      </c>
      <c r="G7" s="14"/>
      <c r="I7" s="60">
        <v>2</v>
      </c>
      <c r="J7" s="10" t="s">
        <v>60</v>
      </c>
    </row>
    <row r="8" spans="1:20" ht="30" customHeight="1">
      <c r="A8" s="1"/>
      <c r="B8" s="10" t="s">
        <v>26</v>
      </c>
      <c r="C8">
        <v>13</v>
      </c>
      <c r="D8">
        <v>15</v>
      </c>
      <c r="E8">
        <f>OperatingExpenses[[#This Row],[Begroot 2023]]+(10^-6)*ROW(OperatingExpenses[[#This Row],[Begroot 2023]])</f>
        <v>15.000007999999999</v>
      </c>
      <c r="F8">
        <f>OperatingExpenses[[#This Row],[Begroot 2024]]-OperatingExpenses[[#This Row],[Begroot 2023]]</f>
        <v>-2</v>
      </c>
      <c r="G8" s="14"/>
      <c r="I8" s="60">
        <v>3</v>
      </c>
      <c r="J8" s="62" t="s">
        <v>59</v>
      </c>
    </row>
    <row r="9" spans="1:20" ht="30" customHeight="1">
      <c r="A9" s="1"/>
      <c r="B9" s="10" t="s">
        <v>27</v>
      </c>
      <c r="C9">
        <v>6.6</v>
      </c>
      <c r="D9">
        <v>8.6</v>
      </c>
      <c r="E9">
        <f>OperatingExpenses[[#This Row],[Begroot 2023]]+(10^-6)*ROW(OperatingExpenses[[#This Row],[Begroot 2023]])</f>
        <v>8.600009</v>
      </c>
      <c r="F9">
        <f>OperatingExpenses[[#This Row],[Begroot 2024]]-OperatingExpenses[[#This Row],[Begroot 2023]]</f>
        <v>-2</v>
      </c>
      <c r="G9" s="14"/>
      <c r="I9" s="60">
        <v>4</v>
      </c>
      <c r="J9" s="10" t="s">
        <v>58</v>
      </c>
    </row>
    <row r="10" spans="1:20" ht="30" customHeight="1">
      <c r="A10" s="1"/>
      <c r="B10" s="10" t="s">
        <v>28</v>
      </c>
      <c r="C10">
        <v>52</v>
      </c>
      <c r="D10">
        <v>52.9</v>
      </c>
      <c r="E10">
        <f>OperatingExpenses[[#This Row],[Begroot 2023]]+(10^-6)*ROW(OperatingExpenses[[#This Row],[Begroot 2023]])</f>
        <v>52.900010000000002</v>
      </c>
      <c r="F10">
        <f>OperatingExpenses[[#This Row],[Begroot 2024]]-OperatingExpenses[[#This Row],[Begroot 2023]]</f>
        <v>-0.89999999999999858</v>
      </c>
      <c r="G10" s="14"/>
      <c r="I10" s="61">
        <v>5</v>
      </c>
      <c r="J10" s="62" t="s">
        <v>57</v>
      </c>
    </row>
    <row r="11" spans="1:20" ht="30" customHeight="1">
      <c r="A11" s="1"/>
      <c r="B11" s="10" t="s">
        <v>29</v>
      </c>
      <c r="C11">
        <v>13.2</v>
      </c>
      <c r="D11">
        <v>13.7</v>
      </c>
      <c r="E11">
        <f>OperatingExpenses[[#This Row],[Begroot 2023]]+(10^-6)*ROW(OperatingExpenses[[#This Row],[Begroot 2023]])</f>
        <v>13.700011</v>
      </c>
      <c r="F11">
        <f>OperatingExpenses[[#This Row],[Begroot 2024]]-OperatingExpenses[[#This Row],[Begroot 2023]]</f>
        <v>-0.5</v>
      </c>
      <c r="G11" s="14"/>
      <c r="I11" s="61">
        <v>6</v>
      </c>
      <c r="J11" s="10" t="s">
        <v>79</v>
      </c>
    </row>
    <row r="12" spans="1:20" ht="30" customHeight="1">
      <c r="A12" s="1"/>
      <c r="B12" s="10" t="s">
        <v>30</v>
      </c>
      <c r="C12">
        <v>9.1999999999999993</v>
      </c>
      <c r="D12">
        <v>6.4</v>
      </c>
      <c r="E12">
        <f>OperatingExpenses[[#This Row],[Begroot 2023]]+(10^-6)*ROW(OperatingExpenses[[#This Row],[Begroot 2023]])</f>
        <v>6.4000120000000003</v>
      </c>
      <c r="F12">
        <f>OperatingExpenses[[#This Row],[Begroot 2024]]-OperatingExpenses[[#This Row],[Begroot 2023]]</f>
        <v>2.7999999999999989</v>
      </c>
      <c r="G12" s="14"/>
      <c r="I12" s="61">
        <v>7</v>
      </c>
      <c r="J12" s="62" t="s">
        <v>61</v>
      </c>
    </row>
    <row r="13" spans="1:20" ht="30" customHeight="1">
      <c r="A13" s="1"/>
      <c r="B13" s="10" t="s">
        <v>31</v>
      </c>
      <c r="C13">
        <v>13.5</v>
      </c>
      <c r="D13">
        <v>12.5</v>
      </c>
      <c r="E13">
        <f>OperatingExpenses[[#This Row],[Begroot 2023]]+(10^-6)*ROW(OperatingExpenses[[#This Row],[Begroot 2023]])</f>
        <v>12.500012999999999</v>
      </c>
      <c r="F13">
        <f>OperatingExpenses[[#This Row],[Begroot 2024]]-OperatingExpenses[[#This Row],[Begroot 2023]]</f>
        <v>1</v>
      </c>
      <c r="G13" s="14"/>
      <c r="I13" s="60">
        <v>8</v>
      </c>
      <c r="J13" s="10" t="s">
        <v>62</v>
      </c>
    </row>
    <row r="14" spans="1:20" ht="30" customHeight="1">
      <c r="A14" s="1"/>
      <c r="B14" s="10" t="s">
        <v>36</v>
      </c>
      <c r="C14">
        <v>12</v>
      </c>
      <c r="D14">
        <v>15.5</v>
      </c>
      <c r="E14">
        <f>OperatingExpenses[[#This Row],[Begroot 2023]]+(10^-6)*ROW(OperatingExpenses[[#This Row],[Begroot 2023]])</f>
        <v>15.500014</v>
      </c>
      <c r="F14">
        <f>OperatingExpenses[[#This Row],[Begroot 2024]]-OperatingExpenses[[#This Row],[Begroot 2023]]</f>
        <v>-3.5</v>
      </c>
      <c r="G14" s="14"/>
      <c r="I14" s="60">
        <v>9</v>
      </c>
      <c r="J14" s="62" t="s">
        <v>63</v>
      </c>
    </row>
    <row r="15" spans="1:20" ht="30" customHeight="1">
      <c r="A15" s="1"/>
      <c r="B15" s="10" t="s">
        <v>37</v>
      </c>
      <c r="C15">
        <v>1.8</v>
      </c>
      <c r="D15">
        <v>1.9</v>
      </c>
      <c r="E15">
        <f>OperatingExpenses[[#This Row],[Begroot 2023]]+(10^-6)*ROW(OperatingExpenses[[#This Row],[Begroot 2023]])</f>
        <v>1.900015</v>
      </c>
      <c r="F15">
        <f>OperatingExpenses[[#This Row],[Begroot 2024]]-OperatingExpenses[[#This Row],[Begroot 2023]]</f>
        <v>-9.9999999999999867E-2</v>
      </c>
      <c r="G15" s="14"/>
      <c r="I15" s="60">
        <v>10</v>
      </c>
      <c r="J15" s="10" t="s">
        <v>64</v>
      </c>
    </row>
    <row r="16" spans="1:20" ht="30" customHeight="1">
      <c r="A16" s="1"/>
      <c r="B16" s="10" t="s">
        <v>38</v>
      </c>
      <c r="C16">
        <v>36.6</v>
      </c>
      <c r="D16">
        <v>49.6</v>
      </c>
      <c r="E16">
        <f>OperatingExpenses[[#This Row],[Begroot 2023]]+(10^-6)*ROW(OperatingExpenses[[#This Row],[Begroot 2023]])</f>
        <v>49.600016000000004</v>
      </c>
      <c r="F16">
        <f>OperatingExpenses[[#This Row],[Begroot 2024]]-OperatingExpenses[[#This Row],[Begroot 2023]]</f>
        <v>-13</v>
      </c>
      <c r="G16" s="14"/>
      <c r="I16" s="60">
        <v>11</v>
      </c>
      <c r="J16" s="62" t="s">
        <v>98</v>
      </c>
    </row>
    <row r="17" spans="1:10" ht="30" customHeight="1">
      <c r="A17" s="1"/>
      <c r="B17" s="10" t="s">
        <v>32</v>
      </c>
      <c r="C17">
        <v>37</v>
      </c>
      <c r="D17">
        <v>34.9</v>
      </c>
      <c r="E17">
        <f>OperatingExpenses[[#This Row],[Begroot 2023]]+(10^-6)*ROW(OperatingExpenses[[#This Row],[Begroot 2023]])</f>
        <v>34.900016999999998</v>
      </c>
      <c r="F17">
        <f>OperatingExpenses[[#This Row],[Begroot 2024]]-OperatingExpenses[[#This Row],[Begroot 2023]]</f>
        <v>2.1000000000000014</v>
      </c>
      <c r="G17" s="14"/>
      <c r="I17" s="61">
        <v>12</v>
      </c>
      <c r="J17" s="10" t="s">
        <v>66</v>
      </c>
    </row>
    <row r="18" spans="1:10" ht="30" customHeight="1">
      <c r="A18" s="1"/>
      <c r="B18" s="10" t="s">
        <v>39</v>
      </c>
      <c r="C18">
        <v>2.9</v>
      </c>
      <c r="D18">
        <v>3.9</v>
      </c>
      <c r="E18">
        <f>OperatingExpenses[[#This Row],[Begroot 2023]]+(10^-6)*ROW(OperatingExpenses[[#This Row],[Begroot 2023]])</f>
        <v>3.9000179999999998</v>
      </c>
      <c r="F18">
        <f>OperatingExpenses[[#This Row],[Begroot 2024]]-OperatingExpenses[[#This Row],[Begroot 2023]]</f>
        <v>-1</v>
      </c>
      <c r="G18" s="14"/>
      <c r="I18" s="61">
        <v>13</v>
      </c>
      <c r="J18" s="62" t="s">
        <v>67</v>
      </c>
    </row>
    <row r="19" spans="1:10" ht="30" customHeight="1">
      <c r="A19" s="1"/>
      <c r="B19" s="10" t="s">
        <v>33</v>
      </c>
      <c r="C19">
        <v>42</v>
      </c>
      <c r="D19">
        <v>40.5</v>
      </c>
      <c r="E19">
        <f>OperatingExpenses[[#This Row],[Begroot 2023]]+(10^-6)*ROW(OperatingExpenses[[#This Row],[Begroot 2023]])</f>
        <v>40.500019000000002</v>
      </c>
      <c r="F19">
        <f>OperatingExpenses[[#This Row],[Begroot 2024]]-OperatingExpenses[[#This Row],[Begroot 2023]]</f>
        <v>1.5</v>
      </c>
      <c r="G19" s="14"/>
      <c r="I19" s="61">
        <v>14</v>
      </c>
      <c r="J19" s="10" t="s">
        <v>68</v>
      </c>
    </row>
    <row r="20" spans="1:10" ht="30" customHeight="1">
      <c r="A20" s="1"/>
      <c r="B20" s="10" t="s">
        <v>34</v>
      </c>
      <c r="C20">
        <v>5</v>
      </c>
      <c r="D20">
        <v>3</v>
      </c>
      <c r="E20">
        <f>OperatingExpenses[[#This Row],[Begroot 2023]]+(10^-6)*ROW(OperatingExpenses[[#This Row],[Begroot 2023]])</f>
        <v>3.0000200000000001</v>
      </c>
      <c r="F20">
        <f>OperatingExpenses[[#This Row],[Begroot 2024]]-OperatingExpenses[[#This Row],[Begroot 2023]]</f>
        <v>2</v>
      </c>
      <c r="G20" s="14"/>
      <c r="I20" s="61">
        <v>15</v>
      </c>
      <c r="J20" s="62" t="s">
        <v>69</v>
      </c>
    </row>
    <row r="21" spans="1:10" ht="30" customHeight="1">
      <c r="A21" s="1"/>
      <c r="B21" s="10" t="s">
        <v>42</v>
      </c>
      <c r="C21">
        <v>36</v>
      </c>
      <c r="D21">
        <v>33</v>
      </c>
      <c r="E21">
        <f>OperatingExpenses[[#This Row],[Begroot 2023]]+(10^-6)*ROW(OperatingExpenses[[#This Row],[Begroot 2023]])</f>
        <v>33.000020999999997</v>
      </c>
      <c r="F21">
        <f>OperatingExpenses[[#This Row],[Begroot 2024]]-OperatingExpenses[[#This Row],[Begroot 2023]]</f>
        <v>3</v>
      </c>
      <c r="G21" s="14"/>
      <c r="I21" s="61">
        <v>16</v>
      </c>
      <c r="J21" s="10" t="s">
        <v>70</v>
      </c>
    </row>
    <row r="22" spans="1:10" ht="30" customHeight="1">
      <c r="A22" s="1"/>
      <c r="B22" s="10" t="s">
        <v>41</v>
      </c>
      <c r="C22">
        <v>28</v>
      </c>
      <c r="D22">
        <v>27.6</v>
      </c>
      <c r="F22">
        <f>OperatingExpenses[[#This Row],[Begroot 2024]]-OperatingExpenses[[#This Row],[Begroot 2023]]</f>
        <v>0.39999999999999858</v>
      </c>
      <c r="G22" s="14"/>
      <c r="I22" s="61">
        <v>17</v>
      </c>
      <c r="J22" s="62" t="s">
        <v>71</v>
      </c>
    </row>
    <row r="23" spans="1:10" ht="30" customHeight="1">
      <c r="A23" s="1"/>
      <c r="B23" s="10" t="s">
        <v>40</v>
      </c>
      <c r="C23">
        <v>30</v>
      </c>
      <c r="D23">
        <v>27.6</v>
      </c>
      <c r="F23">
        <f>OperatingExpenses[[#This Row],[Begroot 2024]]-OperatingExpenses[[#This Row],[Begroot 2023]]</f>
        <v>2.3999999999999986</v>
      </c>
      <c r="G23" s="14"/>
      <c r="I23" s="61">
        <v>18</v>
      </c>
      <c r="J23" s="10" t="s">
        <v>72</v>
      </c>
    </row>
    <row r="24" spans="1:10" ht="30" customHeight="1">
      <c r="A24" s="1"/>
      <c r="B24" s="53" t="s">
        <v>44</v>
      </c>
      <c r="C24" s="24">
        <f>SUBTOTAL(109,OperatingExpenses[Begroot 2024])</f>
        <v>343.70000000000005</v>
      </c>
      <c r="D24" s="24">
        <f>SUBTOTAL(109,OperatingExpenses[Begroot 2023])</f>
        <v>361.00000000000006</v>
      </c>
      <c r="E24" s="24"/>
      <c r="F24" s="24">
        <f>SUBTOTAL(109,OperatingExpenses[Verschil])</f>
        <v>-17.3</v>
      </c>
      <c r="G24" s="14"/>
      <c r="I24" s="61" t="s">
        <v>3</v>
      </c>
      <c r="J24" s="62" t="s">
        <v>3</v>
      </c>
    </row>
    <row r="25" spans="1:10" ht="30" customHeight="1">
      <c r="A25" s="1"/>
      <c r="G25" s="14"/>
    </row>
    <row r="26" spans="1:10" ht="30" customHeight="1">
      <c r="A26" s="1"/>
      <c r="G26" s="15"/>
    </row>
  </sheetData>
  <sheetProtection insertColumns="0" insertRows="0" deleteColumns="0" deleteRows="0" selectLockedCells="1" autoFilter="0"/>
  <dataConsolidate/>
  <mergeCells count="4">
    <mergeCell ref="B1:D1"/>
    <mergeCell ref="B2:D2"/>
    <mergeCell ref="B3:D3"/>
    <mergeCell ref="P3:R3"/>
  </mergeCells>
  <dataValidations count="12">
    <dataValidation type="custom" allowBlank="1" showInputMessage="1" showErrorMessage="1" errorTitle="ALERT" error="This cell is automatically populated and should not be overwitten. Overwriting this cell would break calculations in this worksheet." sqref="G6:G25" xr:uid="{00000000-0002-0000-0300-000000000000}">
      <formula1>LEN(G6)=""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23" xr:uid="{00000000-0002-0000-0300-000001000000}"/>
    <dataValidation allowBlank="1" showInputMessage="1" showErrorMessage="1" prompt="Enter Operating Expenses in this column under this heading. Use heading filters to find specific entries" sqref="B5" xr:uid="{00000000-0002-0000-0300-000002000000}"/>
    <dataValidation allowBlank="1" showInputMessage="1" showErrorMessage="1" prompt="Enter Estimated amount in this column under this heading" sqref="C5" xr:uid="{00000000-0002-0000-0300-000003000000}"/>
    <dataValidation allowBlank="1" showInputMessage="1" showErrorMessage="1" prompt="Enter Actual amount in this column under this heading" sqref="D5" xr:uid="{00000000-0002-0000-0300-000004000000}"/>
    <dataValidation allowBlank="1" showInputMessage="1" showErrorMessage="1" prompt="Difference of Estimated and Actual Operating Expenses is automatically calculated in this column under this heading" sqref="F5" xr:uid="{00000000-0002-0000-0300-000005000000}"/>
    <dataValidation allowBlank="1" showInputMessage="1" showErrorMessage="1" prompt="Enter Company Name in this cell" sqref="B1" xr:uid="{0F37993B-D808-0145-BE3D-B2751B8D873C}"/>
    <dataValidation allowBlank="1" showInputMessage="1" showErrorMessage="1" prompt="Title of this worksheet is in this cell. Enter Date in cell F1. Budget Totals are automatically calculated in Totals table starting in cell B4" sqref="E2" xr:uid="{884F6137-2FF6-45FB-901C-C3B6B6F34E7F}"/>
    <dataValidation allowBlank="1" showInputMessage="1" showErrorMessage="1" prompt="Enter Date in this cell" sqref="F1" xr:uid="{3CB43426-68E9-477E-8175-B949C18740F7}"/>
    <dataValidation allowBlank="1" showInputMessage="1" showErrorMessage="1" prompt="Title of this worksheet is in this cell. Enter Date in cell E1. Budget Totals are automatically calculated in Totals table starting in cell B4" sqref="E3" xr:uid="{32475DF1-CBDA-674A-83DE-F7A726B46582}"/>
    <dataValidation allowBlank="1" showInputMessage="1" showErrorMessage="1" prompt="Title of this worksheet is in this cell. Enter Date in cell F1. Budget Totals are automatically calculated in Totals table starting in cell B5" sqref="B2:D2" xr:uid="{E7EEFC7E-AEA9-4591-AAC3-D6FE028520BB}"/>
    <dataValidation allowBlank="1" showInputMessage="1" showErrorMessage="1" prompt="Enter Personnel Expenses in this column under this heading. Use heading filters to find specific entries" sqref="I5:J5" xr:uid="{FDE91078-81C3-4E47-B5C5-D940278FDB48}"/>
  </dataValidations>
  <printOptions horizontalCentered="1"/>
  <pageMargins left="1" right="1" top="1" bottom="1" header="0.5" footer="0.5"/>
  <pageSetup paperSize="9" scale="4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G6:G25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569E4-6CD2-4F8E-B186-74AD0E2B1967}">
  <dimension ref="A1:D42"/>
  <sheetViews>
    <sheetView workbookViewId="0">
      <selection activeCell="A9" sqref="A9"/>
    </sheetView>
  </sheetViews>
  <sheetFormatPr defaultRowHeight="17.25"/>
  <cols>
    <col min="1" max="1" width="50.125" bestFit="1" customWidth="1"/>
    <col min="2" max="2" width="10" bestFit="1" customWidth="1"/>
    <col min="3" max="3" width="10.375" bestFit="1" customWidth="1"/>
    <col min="4" max="4" width="10" bestFit="1" customWidth="1"/>
  </cols>
  <sheetData>
    <row r="1" spans="1:4">
      <c r="A1" s="91" t="s">
        <v>111</v>
      </c>
      <c r="B1" s="92"/>
      <c r="C1" s="91"/>
      <c r="D1" s="91"/>
    </row>
    <row r="2" spans="1:4">
      <c r="A2" s="93"/>
      <c r="B2" s="94" t="s">
        <v>112</v>
      </c>
      <c r="C2" s="95" t="s">
        <v>112</v>
      </c>
      <c r="D2" s="96" t="s">
        <v>3</v>
      </c>
    </row>
    <row r="3" spans="1:4">
      <c r="A3" s="93"/>
      <c r="B3" s="94" t="s">
        <v>113</v>
      </c>
      <c r="C3" s="96" t="s">
        <v>114</v>
      </c>
      <c r="D3" s="96" t="s">
        <v>115</v>
      </c>
    </row>
    <row r="4" spans="1:4">
      <c r="A4" s="93" t="s">
        <v>116</v>
      </c>
      <c r="B4" s="97" t="s">
        <v>117</v>
      </c>
      <c r="C4" s="98" t="s">
        <v>117</v>
      </c>
      <c r="D4" s="98" t="s">
        <v>117</v>
      </c>
    </row>
    <row r="5" spans="1:4">
      <c r="A5" s="99" t="s">
        <v>118</v>
      </c>
      <c r="B5" s="100">
        <f>SUM(B11:B41)</f>
        <v>216278</v>
      </c>
      <c r="C5" s="100">
        <f>SUM(C11:C41)</f>
        <v>263820</v>
      </c>
      <c r="D5" s="100">
        <f>SUM(D11:D41)</f>
        <v>263820</v>
      </c>
    </row>
    <row r="6" spans="1:4">
      <c r="A6" s="101" t="s">
        <v>119</v>
      </c>
      <c r="B6" s="102">
        <v>51018</v>
      </c>
      <c r="C6" s="102">
        <v>51018</v>
      </c>
      <c r="D6" s="102">
        <v>51018</v>
      </c>
    </row>
    <row r="7" spans="1:4">
      <c r="A7" s="101" t="s">
        <v>120</v>
      </c>
      <c r="B7" s="101"/>
      <c r="C7" s="103">
        <v>68600</v>
      </c>
      <c r="D7" s="104">
        <v>68600</v>
      </c>
    </row>
    <row r="8" spans="1:4">
      <c r="A8" s="101" t="s">
        <v>121</v>
      </c>
      <c r="B8" s="104">
        <v>27931</v>
      </c>
      <c r="C8" s="103">
        <v>30723</v>
      </c>
      <c r="D8" s="104">
        <v>30723</v>
      </c>
    </row>
    <row r="9" spans="1:4">
      <c r="A9" s="105" t="s">
        <v>122</v>
      </c>
      <c r="B9" s="106">
        <f>SUM(B5:B8)</f>
        <v>295227</v>
      </c>
      <c r="C9" s="106">
        <f>SUM(C5:C8)</f>
        <v>414161</v>
      </c>
      <c r="D9" s="106">
        <f>SUM(D5:D8)</f>
        <v>414161</v>
      </c>
    </row>
    <row r="10" spans="1:4">
      <c r="A10" s="101" t="s">
        <v>3</v>
      </c>
      <c r="B10" s="101"/>
      <c r="C10" s="101"/>
      <c r="D10" s="101"/>
    </row>
    <row r="11" spans="1:4">
      <c r="A11" s="107" t="s">
        <v>123</v>
      </c>
      <c r="B11" s="108">
        <v>69928</v>
      </c>
      <c r="C11" s="108">
        <v>74812</v>
      </c>
      <c r="D11" s="108">
        <v>74812</v>
      </c>
    </row>
    <row r="12" spans="1:4">
      <c r="A12" s="109" t="s">
        <v>124</v>
      </c>
      <c r="B12" s="110">
        <v>6679</v>
      </c>
      <c r="C12" s="110">
        <v>31128</v>
      </c>
      <c r="D12" s="110">
        <v>31128</v>
      </c>
    </row>
    <row r="13" spans="1:4">
      <c r="A13" s="111" t="s">
        <v>125</v>
      </c>
      <c r="B13" s="110">
        <v>69273</v>
      </c>
      <c r="C13" s="110">
        <v>66448</v>
      </c>
      <c r="D13" s="110">
        <v>66448</v>
      </c>
    </row>
    <row r="14" spans="1:4">
      <c r="A14" s="112" t="s">
        <v>126</v>
      </c>
      <c r="B14" s="113">
        <v>38275</v>
      </c>
      <c r="C14" s="113">
        <v>54508</v>
      </c>
      <c r="D14" s="113">
        <v>54508</v>
      </c>
    </row>
    <row r="15" spans="1:4">
      <c r="A15" s="114" t="s">
        <v>127</v>
      </c>
      <c r="B15" s="115">
        <v>240</v>
      </c>
      <c r="C15" s="102">
        <v>260</v>
      </c>
      <c r="D15" s="102">
        <v>260</v>
      </c>
    </row>
    <row r="16" spans="1:4">
      <c r="A16" s="114" t="s">
        <v>128</v>
      </c>
      <c r="B16" s="115">
        <v>3401</v>
      </c>
      <c r="C16" s="102">
        <v>5000</v>
      </c>
      <c r="D16" s="102">
        <v>5000</v>
      </c>
    </row>
    <row r="17" spans="1:4">
      <c r="A17" s="114" t="s">
        <v>129</v>
      </c>
      <c r="B17" s="102">
        <v>0</v>
      </c>
      <c r="C17" s="102">
        <v>0</v>
      </c>
      <c r="D17" s="102">
        <v>0</v>
      </c>
    </row>
    <row r="18" spans="1:4">
      <c r="A18" s="114" t="s">
        <v>130</v>
      </c>
      <c r="B18" s="102">
        <v>472</v>
      </c>
      <c r="C18" s="102">
        <v>472</v>
      </c>
      <c r="D18" s="102">
        <v>472</v>
      </c>
    </row>
    <row r="19" spans="1:4">
      <c r="A19" s="114" t="s">
        <v>131</v>
      </c>
      <c r="B19" s="102">
        <v>0</v>
      </c>
      <c r="C19" s="102">
        <v>0</v>
      </c>
      <c r="D19" s="102">
        <v>0</v>
      </c>
    </row>
    <row r="20" spans="1:4">
      <c r="A20" s="116" t="s">
        <v>132</v>
      </c>
      <c r="B20" s="117">
        <v>1477</v>
      </c>
      <c r="C20" s="117">
        <v>1964</v>
      </c>
      <c r="D20" s="117">
        <v>1964</v>
      </c>
    </row>
    <row r="21" spans="1:4">
      <c r="A21" s="114" t="s">
        <v>133</v>
      </c>
      <c r="B21" s="102">
        <v>210</v>
      </c>
      <c r="C21" s="102">
        <v>204</v>
      </c>
      <c r="D21" s="102">
        <v>204</v>
      </c>
    </row>
    <row r="22" spans="1:4">
      <c r="A22" s="118" t="s">
        <v>134</v>
      </c>
      <c r="B22" s="113">
        <v>5374</v>
      </c>
      <c r="C22" s="113">
        <v>4208</v>
      </c>
      <c r="D22" s="113">
        <v>4208</v>
      </c>
    </row>
    <row r="23" spans="1:4">
      <c r="A23" s="119" t="s">
        <v>135</v>
      </c>
      <c r="B23" s="102">
        <v>513</v>
      </c>
      <c r="C23" s="102">
        <v>5908</v>
      </c>
      <c r="D23" s="102">
        <v>5908</v>
      </c>
    </row>
    <row r="24" spans="1:4">
      <c r="A24" s="114" t="s">
        <v>136</v>
      </c>
      <c r="B24" s="102">
        <v>2614</v>
      </c>
      <c r="C24" s="102">
        <v>2812</v>
      </c>
      <c r="D24" s="102">
        <v>2812</v>
      </c>
    </row>
    <row r="25" spans="1:4">
      <c r="A25" s="114" t="s">
        <v>137</v>
      </c>
      <c r="B25" s="102">
        <v>0</v>
      </c>
      <c r="C25" s="102">
        <v>0</v>
      </c>
      <c r="D25" s="102">
        <v>0</v>
      </c>
    </row>
    <row r="26" spans="1:4">
      <c r="A26" s="114" t="s">
        <v>138</v>
      </c>
      <c r="B26" s="102">
        <v>44</v>
      </c>
      <c r="C26" s="102">
        <v>40</v>
      </c>
      <c r="D26" s="102">
        <v>40</v>
      </c>
    </row>
    <row r="27" spans="1:4">
      <c r="A27" s="114" t="s">
        <v>139</v>
      </c>
      <c r="B27" s="102">
        <v>851</v>
      </c>
      <c r="C27" s="102">
        <v>944</v>
      </c>
      <c r="D27" s="102">
        <v>944</v>
      </c>
    </row>
    <row r="28" spans="1:4">
      <c r="A28" s="114" t="s">
        <v>140</v>
      </c>
      <c r="B28" s="102">
        <v>0</v>
      </c>
      <c r="C28" s="102">
        <v>0</v>
      </c>
      <c r="D28" s="102">
        <v>0</v>
      </c>
    </row>
    <row r="29" spans="1:4">
      <c r="A29" s="114" t="s">
        <v>141</v>
      </c>
      <c r="B29" s="102">
        <v>1</v>
      </c>
      <c r="C29" s="102">
        <v>0</v>
      </c>
      <c r="D29" s="102">
        <v>0</v>
      </c>
    </row>
    <row r="30" spans="1:4">
      <c r="A30" s="114" t="s">
        <v>142</v>
      </c>
      <c r="B30" s="102">
        <v>309</v>
      </c>
      <c r="C30" s="102">
        <v>308</v>
      </c>
      <c r="D30" s="102">
        <v>308</v>
      </c>
    </row>
    <row r="31" spans="1:4">
      <c r="A31" s="120" t="s">
        <v>143</v>
      </c>
      <c r="B31" s="117">
        <v>6100</v>
      </c>
      <c r="C31" s="117">
        <v>6244</v>
      </c>
      <c r="D31" s="117">
        <v>6244</v>
      </c>
    </row>
    <row r="32" spans="1:4">
      <c r="A32" s="114" t="s">
        <v>144</v>
      </c>
      <c r="B32" s="102">
        <v>4860</v>
      </c>
      <c r="C32" s="102">
        <v>5156</v>
      </c>
      <c r="D32" s="102">
        <v>5156</v>
      </c>
    </row>
    <row r="33" spans="1:4">
      <c r="A33" s="114" t="s">
        <v>145</v>
      </c>
      <c r="B33" s="102">
        <v>4602</v>
      </c>
      <c r="C33" s="102">
        <v>2172</v>
      </c>
      <c r="D33" s="102">
        <v>2172</v>
      </c>
    </row>
    <row r="34" spans="1:4">
      <c r="A34" s="114" t="s">
        <v>146</v>
      </c>
      <c r="B34" s="102">
        <v>30</v>
      </c>
      <c r="C34" s="102">
        <v>36</v>
      </c>
      <c r="D34" s="102">
        <v>36</v>
      </c>
    </row>
    <row r="35" spans="1:4">
      <c r="A35" s="114" t="s">
        <v>147</v>
      </c>
      <c r="B35" s="102">
        <v>311</v>
      </c>
      <c r="C35" s="102">
        <v>276</v>
      </c>
      <c r="D35" s="102">
        <v>276</v>
      </c>
    </row>
    <row r="36" spans="1:4">
      <c r="A36" s="114" t="s">
        <v>148</v>
      </c>
      <c r="B36" s="102">
        <v>291</v>
      </c>
      <c r="C36" s="102">
        <v>272</v>
      </c>
      <c r="D36" s="102">
        <v>272</v>
      </c>
    </row>
    <row r="37" spans="1:4">
      <c r="A37" s="114" t="s">
        <v>149</v>
      </c>
      <c r="B37" s="102">
        <v>0</v>
      </c>
      <c r="C37" s="102">
        <v>0</v>
      </c>
      <c r="D37" s="102">
        <v>0</v>
      </c>
    </row>
    <row r="38" spans="1:4">
      <c r="A38" s="114" t="s">
        <v>150</v>
      </c>
      <c r="B38" s="102">
        <v>0</v>
      </c>
      <c r="C38" s="102">
        <v>0</v>
      </c>
      <c r="D38" s="102">
        <v>0</v>
      </c>
    </row>
    <row r="39" spans="1:4">
      <c r="A39" s="114" t="s">
        <v>151</v>
      </c>
      <c r="B39" s="102">
        <v>163</v>
      </c>
      <c r="C39" s="102">
        <v>484</v>
      </c>
      <c r="D39" s="102">
        <v>484</v>
      </c>
    </row>
    <row r="40" spans="1:4">
      <c r="A40" s="114" t="s">
        <v>152</v>
      </c>
      <c r="B40" s="102">
        <v>41</v>
      </c>
      <c r="C40" s="102">
        <v>44</v>
      </c>
      <c r="D40" s="102">
        <v>44</v>
      </c>
    </row>
    <row r="41" spans="1:4">
      <c r="A41" s="114" t="s">
        <v>15</v>
      </c>
      <c r="B41" s="102">
        <v>219</v>
      </c>
      <c r="C41" s="102">
        <v>120</v>
      </c>
      <c r="D41" s="102">
        <v>120</v>
      </c>
    </row>
    <row r="42" spans="1:4">
      <c r="A42" s="114" t="s">
        <v>153</v>
      </c>
      <c r="B42" s="63">
        <f>SUM(B11:B41)</f>
        <v>216278</v>
      </c>
      <c r="C42" s="63">
        <v>263820</v>
      </c>
      <c r="D42" s="63">
        <v>263820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663F8-BF93-4554-ABE3-FD1B897E6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A827A7-106B-496A-91A2-EACC0032DBC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562C86FC-BC86-4AF7-ABE2-4324B286019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10</vt:i4>
      </vt:variant>
    </vt:vector>
  </HeadingPairs>
  <TitlesOfParts>
    <vt:vector size="15" baseType="lpstr">
      <vt:lpstr>Monthly Budget Summary</vt:lpstr>
      <vt:lpstr>Income</vt:lpstr>
      <vt:lpstr>Personnel Expenses</vt:lpstr>
      <vt:lpstr>Operating Expenses</vt:lpstr>
      <vt:lpstr>Taxes</vt:lpstr>
      <vt:lpstr>Income!Afdruktitels</vt:lpstr>
      <vt:lpstr>'Operating Expenses'!Afdruktitels</vt:lpstr>
      <vt:lpstr>'Personnel Expenses'!Afdruktitels</vt:lpstr>
      <vt:lpstr>BUDGET_Title</vt:lpstr>
      <vt:lpstr>ColumnTitle1</vt:lpstr>
      <vt:lpstr>COMPANY_NAME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2022-11-15T06:42:58Z</dcterms:created>
  <dcterms:modified xsi:type="dcterms:W3CDTF">2023-08-20T09:23:10Z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